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Дашборд" sheetId="1" state="visible" r:id="rId1"/>
    <sheet xmlns:r="http://schemas.openxmlformats.org/officeDocument/2006/relationships" name="Данные" sheetId="2" state="visible" r:id="rId2"/>
    <sheet xmlns:r="http://schemas.openxmlformats.org/officeDocument/2006/relationships" name="Сезонность" sheetId="3" state="visible" r:id="rId3"/>
    <sheet xmlns:r="http://schemas.openxmlformats.org/officeDocument/2006/relationships" name="Прогноз" sheetId="4" state="visible" r:id="rId4"/>
    <sheet xmlns:r="http://schemas.openxmlformats.org/officeDocument/2006/relationships" name="ABC-XYZ" sheetId="5" state="visible" r:id="rId5"/>
    <sheet xmlns:r="http://schemas.openxmlformats.org/officeDocument/2006/relationships" name="Закупки" sheetId="6" state="visible" r:id="rId6"/>
  </sheets>
  <definedNames>
    <definedName name="SKU_Codes">'Данные'!$A$7:$A$18</definedName>
    <definedName name="SKU_Names">'Данные'!$B$7:$B$18</definedName>
    <definedName name="Prices">'Данные'!$E$7:$E$18</definedName>
    <definedName name="Sales">'Данные'!$F$7:$AC$18</definedName>
    <definedName name="Periods">'Данные'!$F$4:$AC$4</definedName>
    <definedName name="MonthNo">'Данные'!$F$5:$AC$5</definedName>
    <definedName name="Thr_A">'ABC-XYZ'!$D$4</definedName>
    <definedName name="Thr_B">'ABC-XYZ'!$D$5</definedName>
    <definedName name="Thr_X">'ABC-XYZ'!$K$4</definedName>
    <definedName name="Thr_Y">'ABC-XYZ'!$K$5</definedName>
    <definedName name="SL_A">'Закупки'!$D$4</definedName>
    <definedName name="SL_B">'Закупки'!$F$4</definedName>
    <definedName name="SL_C">'Закупки'!$H$4</definedName>
    <definedName name="Sel_SKU">'Дашборд'!$F$5</definedName>
    <definedName name="Sel_Row">'Дашборд'!$AD$3</definedName>
    <definedName name="N_Hist">'Дашборд'!$AF$3</definedName>
    <definedName name="_xlnm.Print_Area" localSheetId="0">'Дашборд'!$A$1:$Y$49</definedName>
    <definedName name="_xlnm._FilterDatabase" localSheetId="1" hidden="1">'Данные'!$A$6:$AC$18</definedName>
    <definedName name="_xlnm.Print_Area" localSheetId="1">'Данные'!$A$1:$AD$21</definedName>
    <definedName name="_xlnm.Print_Area" localSheetId="2">'Сезонность'!$A$1:$R$20</definedName>
    <definedName name="_xlnm.Print_Area" localSheetId="3">'Прогноз'!$A$1:$V$21</definedName>
    <definedName name="_xlnm.Print_Area" localSheetId="4">'ABC-XYZ'!$A$1:$N$26</definedName>
    <definedName name="_xlnm.Print_Area" localSheetId="5">'Закупки'!$A$1:$V$21</definedName>
  </definedNames>
  <calcPr calcId="124519" fullCalcOnLoad="1"/>
</workbook>
</file>

<file path=xl/styles.xml><?xml version="1.0" encoding="utf-8"?>
<styleSheet xmlns="http://schemas.openxmlformats.org/spreadsheetml/2006/main">
  <numFmts count="16">
    <numFmt numFmtId="164" formatCode="yyyy-mm-dd"/>
    <numFmt numFmtId="165" formatCode="[$-419]MMM YY"/>
    <numFmt numFmtId="166" formatCode="0.0&quot;×&quot;"/>
    <numFmt numFmtId="167" formatCode="0.000"/>
    <numFmt numFmtId="168" formatCode="#,##0.0"/>
    <numFmt numFmtId="169" formatCode="+#,##0.00;-#,##0.00;0.00"/>
    <numFmt numFmtId="170" formatCode="+0.0%;-0.0%;0.0%"/>
    <numFmt numFmtId="171" formatCode="0.0%"/>
    <numFmt numFmtId="172" formatCode="0&quot; SKU&quot;"/>
    <numFmt numFmtId="173" formatCode="&quot;на &quot;#,##0&quot; тыс. ₽&quot;"/>
    <numFmt numFmtId="174" formatCode="&quot;▲ +&quot;0.0%&quot; к факту&quot;;&quot;▼ −&quot;0.0%&quot; к факту&quot;;&quot;на уровне факта&quot;"/>
    <numFmt numFmtId="175" formatCode="&quot;ошибка модели &quot;0.0%"/>
    <numFmt numFmtId="176" formatCode="&quot;уровень сервиса &quot;0.0%"/>
    <numFmt numFmtId="177" formatCode="&quot;запас сейчас: &quot;#,##0"/>
    <numFmt numFmtId="178" formatCode="&quot;на сумму &quot;#,##0&quot; ₽&quot;"/>
    <numFmt numFmtId="179" formatCode="&quot;коэффициент вариации спроса &quot;0%"/>
  </numFmts>
  <fonts count="30">
    <font>
      <name val="Calibri"/>
      <family val="2"/>
      <color theme="1"/>
      <sz val="11"/>
      <scheme val="minor"/>
    </font>
    <font>
      <name val="Calibri"/>
      <b val="1"/>
      <color rgb="001F2328"/>
      <sz val="16"/>
    </font>
    <font>
      <name val="Calibri"/>
      <color rgb="0052514E"/>
      <sz val="10"/>
    </font>
    <font>
      <name val="Calibri"/>
      <color rgb="00898781"/>
      <sz val="8"/>
    </font>
    <font>
      <name val="Calibri"/>
      <i val="1"/>
      <color rgb="00898781"/>
      <sz val="8"/>
    </font>
    <font>
      <name val="Calibri"/>
      <b val="1"/>
      <color rgb="001F2328"/>
      <sz val="9.5"/>
    </font>
    <font>
      <name val="Calibri"/>
      <b val="1"/>
      <color rgb="000000FF"/>
      <sz val="10"/>
    </font>
    <font>
      <name val="Calibri"/>
      <color rgb="000000FF"/>
      <sz val="10"/>
    </font>
    <font>
      <name val="Calibri"/>
      <b val="1"/>
      <color rgb="001F2328"/>
      <sz val="10"/>
    </font>
    <font>
      <name val="Calibri"/>
      <i val="1"/>
      <color rgb="00898781"/>
      <sz val="9"/>
    </font>
    <font>
      <name val="Calibri"/>
      <b val="1"/>
      <color rgb="00008000"/>
      <sz val="10"/>
    </font>
    <font>
      <name val="Calibri"/>
      <color rgb="00008000"/>
      <sz val="10"/>
    </font>
    <font>
      <name val="Calibri"/>
      <color rgb="00898781"/>
      <sz val="10"/>
    </font>
    <font>
      <name val="Calibri"/>
      <b val="1"/>
      <color rgb="001F2328"/>
      <sz val="11"/>
    </font>
    <font>
      <name val="Calibri"/>
      <color rgb="0052514E"/>
      <sz val="9.5"/>
    </font>
    <font>
      <name val="Calibri"/>
      <b val="1"/>
      <color rgb="00898781"/>
      <sz val="9"/>
    </font>
    <font>
      <name val="Calibri"/>
      <color rgb="00008000"/>
      <sz val="9"/>
    </font>
    <font>
      <name val="Calibri"/>
      <color rgb="00898781"/>
      <sz val="9"/>
    </font>
    <font>
      <name val="Calibri"/>
      <b val="1"/>
      <color rgb="0052514E"/>
      <sz val="9"/>
    </font>
    <font>
      <name val="Calibri"/>
      <color rgb="001F2328"/>
      <sz val="9.5"/>
    </font>
    <font>
      <name val="Calibri"/>
      <color rgb="000000FF"/>
      <sz val="9.5"/>
    </font>
    <font>
      <name val="Calibri"/>
      <b val="1"/>
      <color rgb="0052514E"/>
      <sz val="9.5"/>
    </font>
    <font>
      <name val="Calibri"/>
      <b val="1"/>
      <color rgb="001F2328"/>
      <sz val="20"/>
    </font>
    <font>
      <name val="Calibri"/>
      <color rgb="00898781"/>
      <sz val="11"/>
    </font>
    <font>
      <name val="Calibri"/>
      <b val="1"/>
      <color rgb="0052514E"/>
      <sz val="10"/>
    </font>
    <font>
      <name val="Calibri"/>
      <b val="1"/>
      <color rgb="000000FF"/>
      <sz val="14"/>
    </font>
    <font>
      <name val="Calibri"/>
      <b val="1"/>
      <color rgb="001F2328"/>
      <sz val="9"/>
    </font>
    <font>
      <name val="Calibri"/>
      <b val="1"/>
      <color rgb="001F2328"/>
      <sz val="14"/>
    </font>
    <font>
      <name val="Calibri"/>
      <color rgb="0052514E"/>
      <sz val="9"/>
    </font>
    <font>
      <name val="Calibri"/>
      <b val="1"/>
      <color rgb="001F2328"/>
      <sz val="11.5"/>
    </font>
  </fonts>
  <fills count="10">
    <fill>
      <patternFill/>
    </fill>
    <fill>
      <patternFill patternType="gray125"/>
    </fill>
    <fill>
      <patternFill patternType="solid">
        <fgColor rgb="00F0EFEC"/>
        <bgColor rgb="00F0EFEC"/>
      </patternFill>
    </fill>
    <fill>
      <patternFill patternType="solid">
        <fgColor rgb="00FAFAF8"/>
        <bgColor rgb="00FAFAF8"/>
      </patternFill>
    </fill>
    <fill>
      <patternFill patternType="solid">
        <fgColor rgb="00FFF2CC"/>
        <bgColor rgb="00FFF2CC"/>
      </patternFill>
    </fill>
    <fill>
      <patternFill patternType="solid">
        <fgColor rgb="009EC5F4"/>
        <bgColor rgb="009EC5F4"/>
      </patternFill>
    </fill>
    <fill>
      <patternFill patternType="solid">
        <fgColor rgb="00CDE2FB"/>
        <bgColor rgb="00CDE2FB"/>
      </patternFill>
    </fill>
    <fill>
      <patternFill patternType="solid">
        <fgColor rgb="00EAF2FC"/>
        <bgColor rgb="00EAF2FC"/>
      </patternFill>
    </fill>
    <fill>
      <patternFill patternType="solid">
        <fgColor rgb="00F4F3EF"/>
        <bgColor rgb="00F4F3EF"/>
      </patternFill>
    </fill>
    <fill>
      <patternFill patternType="solid">
        <fgColor rgb="00FFFFFF"/>
        <bgColor rgb="00FFFFFF"/>
      </patternFill>
    </fill>
  </fills>
  <borders count="19">
    <border>
      <left/>
      <right/>
      <top/>
      <bottom/>
      <diagonal/>
    </border>
    <border>
      <top style="thin">
        <color rgb="00C3C2B7"/>
      </top>
      <bottom style="medium">
        <color rgb="0052514E"/>
      </bottom>
    </border>
    <border>
      <bottom style="thin">
        <color rgb="00E1E0D9"/>
      </bottom>
    </border>
    <border>
      <top style="medium">
        <color rgb="0052514E"/>
      </top>
      <bottom style="thin">
        <color rgb="00C3C2B7"/>
      </bottom>
    </border>
    <border>
      <left style="thin">
        <color rgb="00C3C2B7"/>
      </left>
      <right style="thin">
        <color rgb="00C3C2B7"/>
      </right>
      <top style="thin">
        <color rgb="00C3C2B7"/>
      </top>
      <bottom style="thin">
        <color rgb="00C3C2B7"/>
      </bottom>
    </border>
    <border>
      <bottom style="thin">
        <color rgb="00C3C2B7"/>
      </bottom>
    </border>
    <border>
      <left style="thin">
        <color rgb="00FFFFFF"/>
      </left>
      <right style="thin">
        <color rgb="00FFFFFF"/>
      </right>
      <top style="medium">
        <color rgb="00FFFFFF"/>
      </top>
      <bottom style="medium">
        <color rgb="00FFFFFF"/>
      </bottom>
    </border>
    <border>
      <right style="thin">
        <color rgb="00FFFFFF"/>
      </right>
      <bottom style="thin">
        <color rgb="00EAD9A0"/>
      </bottom>
    </border>
    <border>
      <left style="thin">
        <color rgb="00E2C76B"/>
      </left>
      <top style="thin">
        <color rgb="00E2C76B"/>
      </top>
      <bottom style="thin">
        <color rgb="00E2C76B"/>
      </bottom>
    </border>
    <border>
      <top style="thin">
        <color rgb="00E2C76B"/>
      </top>
      <bottom style="thin">
        <color rgb="00E2C76B"/>
      </bottom>
    </border>
    <border>
      <right style="thin">
        <color rgb="00E2C76B"/>
      </right>
      <top style="thin">
        <color rgb="00E2C76B"/>
      </top>
      <bottom style="thin">
        <color rgb="00E2C76B"/>
      </bottom>
    </border>
    <border>
      <left style="thin">
        <color rgb="00E1E0D9"/>
      </left>
      <top style="thin">
        <color rgb="00E1E0D9"/>
      </top>
    </border>
    <border>
      <top style="thin">
        <color rgb="00E1E0D9"/>
      </top>
    </border>
    <border>
      <right style="thin">
        <color rgb="00E1E0D9"/>
      </right>
      <top style="thin">
        <color rgb="00E1E0D9"/>
      </top>
    </border>
    <border>
      <left style="thin">
        <color rgb="00E1E0D9"/>
      </left>
    </border>
    <border/>
    <border>
      <right style="thin">
        <color rgb="00E1E0D9"/>
      </right>
    </border>
    <border>
      <left style="thin">
        <color rgb="00E1E0D9"/>
      </left>
      <bottom style="thin">
        <color rgb="00E1E0D9"/>
      </bottom>
    </border>
    <border>
      <right style="thin">
        <color rgb="00E1E0D9"/>
      </right>
      <bottom style="thin">
        <color rgb="00E1E0D9"/>
      </bottom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0" fillId="8" borderId="0" pivotButton="0" quotePrefix="0" xfId="0"/>
    <xf numFmtId="0" fontId="22" fillId="8" borderId="0" applyAlignment="1" pivotButton="0" quotePrefix="0" xfId="0">
      <alignment horizontal="left" vertical="center"/>
    </xf>
    <xf numFmtId="0" fontId="23" fillId="8" borderId="0" applyAlignment="1" pivotButton="0" quotePrefix="0" xfId="0">
      <alignment horizontal="right" vertical="center"/>
    </xf>
    <xf numFmtId="0" fontId="15" fillId="0" borderId="0" pivotButton="0" quotePrefix="0" xfId="0"/>
    <xf numFmtId="0" fontId="2" fillId="8" borderId="0" applyAlignment="1" pivotButton="0" quotePrefix="0" xfId="0">
      <alignment horizontal="left" vertical="center"/>
    </xf>
    <xf numFmtId="0" fontId="17" fillId="0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right" vertical="center"/>
    </xf>
    <xf numFmtId="0" fontId="24" fillId="8" borderId="0" applyAlignment="1" pivotButton="0" quotePrefix="0" xfId="0">
      <alignment horizontal="right" vertical="center"/>
    </xf>
    <xf numFmtId="0" fontId="25" fillId="4" borderId="8" applyAlignment="1" pivotButton="0" quotePrefix="0" xfId="0">
      <alignment horizontal="center" vertical="center"/>
    </xf>
    <xf numFmtId="0" fontId="0" fillId="4" borderId="9" pivotButton="0" quotePrefix="0" xfId="0"/>
    <xf numFmtId="0" fontId="0" fillId="4" borderId="10" pivotButton="0" quotePrefix="0" xfId="0"/>
    <xf numFmtId="0" fontId="27" fillId="8" borderId="0" applyAlignment="1" pivotButton="0" quotePrefix="0" xfId="0">
      <alignment horizontal="left" vertical="center" indent="1"/>
    </xf>
    <xf numFmtId="0" fontId="14" fillId="8" borderId="0" applyAlignment="1" pivotButton="0" quotePrefix="0" xfId="0">
      <alignment horizontal="right" vertical="center" wrapText="1"/>
    </xf>
    <xf numFmtId="0" fontId="15" fillId="0" borderId="5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165" fontId="17" fillId="0" borderId="0" applyAlignment="1" pivotButton="0" quotePrefix="0" xfId="0">
      <alignment horizontal="center" vertical="center"/>
    </xf>
    <xf numFmtId="3" fontId="17" fillId="0" borderId="0" applyAlignment="1" pivotButton="0" quotePrefix="0" xfId="0">
      <alignment horizontal="center" vertical="center"/>
    </xf>
    <xf numFmtId="0" fontId="28" fillId="9" borderId="11" applyAlignment="1" pivotButton="0" quotePrefix="0" xfId="0">
      <alignment horizontal="left" vertical="bottom" indent="1"/>
    </xf>
    <xf numFmtId="0" fontId="0" fillId="9" borderId="12" pivotButton="0" quotePrefix="0" xfId="0"/>
    <xf numFmtId="0" fontId="0" fillId="9" borderId="13" pivotButton="0" quotePrefix="0" xfId="0"/>
    <xf numFmtId="3" fontId="22" fillId="9" borderId="14" applyAlignment="1" pivotButton="0" quotePrefix="0" xfId="0">
      <alignment horizontal="left" vertical="center" indent="1"/>
    </xf>
    <xf numFmtId="0" fontId="0" fillId="9" borderId="15" pivotButton="0" quotePrefix="0" xfId="0"/>
    <xf numFmtId="0" fontId="0" fillId="9" borderId="16" pivotButton="0" quotePrefix="0" xfId="0"/>
    <xf numFmtId="173" fontId="17" fillId="9" borderId="17" applyAlignment="1" pivotButton="0" quotePrefix="0" xfId="0">
      <alignment horizontal="left" vertical="top" indent="1"/>
    </xf>
    <xf numFmtId="0" fontId="0" fillId="9" borderId="2" pivotButton="0" quotePrefix="0" xfId="0"/>
    <xf numFmtId="0" fontId="0" fillId="9" borderId="18" pivotButton="0" quotePrefix="0" xfId="0"/>
    <xf numFmtId="174" fontId="17" fillId="9" borderId="17" applyAlignment="1" pivotButton="0" quotePrefix="0" xfId="0">
      <alignment horizontal="left" vertical="top" indent="1"/>
    </xf>
    <xf numFmtId="175" fontId="17" fillId="9" borderId="17" applyAlignment="1" pivotButton="0" quotePrefix="0" xfId="0">
      <alignment horizontal="left" vertical="top" indent="1"/>
    </xf>
    <xf numFmtId="176" fontId="17" fillId="9" borderId="17" applyAlignment="1" pivotButton="0" quotePrefix="0" xfId="0">
      <alignment horizontal="left" vertical="top" indent="1"/>
    </xf>
    <xf numFmtId="177" fontId="17" fillId="9" borderId="17" applyAlignment="1" pivotButton="0" quotePrefix="0" xfId="0">
      <alignment horizontal="left" vertical="top" indent="1"/>
    </xf>
    <xf numFmtId="178" fontId="17" fillId="9" borderId="17" applyAlignment="1" pivotButton="0" quotePrefix="0" xfId="0">
      <alignment horizontal="left" vertical="top" indent="1"/>
    </xf>
    <xf numFmtId="0" fontId="29" fillId="8" borderId="0" applyAlignment="1" pivotButton="0" quotePrefix="0" xfId="0">
      <alignment horizontal="left" vertical="center"/>
    </xf>
    <xf numFmtId="179" fontId="17" fillId="8" borderId="0" applyAlignment="1" pivotButton="0" quotePrefix="0" xfId="0">
      <alignment horizontal="right" vertical="center"/>
    </xf>
    <xf numFmtId="0" fontId="9" fillId="8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165" fontId="5" fillId="2" borderId="1" applyAlignment="1" pivotButton="0" quotePrefix="0" xfId="0">
      <alignment horizontal="center" vertical="center" wrapText="1"/>
    </xf>
    <xf numFmtId="0" fontId="6" fillId="0" borderId="2" applyAlignment="1" pivotButton="0" quotePrefix="0" xfId="0">
      <alignment vertical="center"/>
    </xf>
    <xf numFmtId="0" fontId="7" fillId="0" borderId="2" applyAlignment="1" pivotButton="0" quotePrefix="0" xfId="0">
      <alignment vertical="center"/>
    </xf>
    <xf numFmtId="0" fontId="7" fillId="0" borderId="2" applyAlignment="1" pivotButton="0" quotePrefix="0" xfId="0">
      <alignment horizontal="center" vertical="center"/>
    </xf>
    <xf numFmtId="4" fontId="7" fillId="0" borderId="2" applyAlignment="1" pivotButton="0" quotePrefix="0" xfId="0">
      <alignment vertical="center"/>
    </xf>
    <xf numFmtId="3" fontId="7" fillId="0" borderId="2" applyAlignment="1" pivotButton="0" quotePrefix="0" xfId="0">
      <alignment vertical="center"/>
    </xf>
    <xf numFmtId="0" fontId="0" fillId="0" borderId="2" pivotButton="0" quotePrefix="0" xfId="0"/>
    <xf numFmtId="0" fontId="6" fillId="3" borderId="2" applyAlignment="1" pivotButton="0" quotePrefix="0" xfId="0">
      <alignment vertical="center"/>
    </xf>
    <xf numFmtId="0" fontId="7" fillId="3" borderId="2" applyAlignment="1" pivotButton="0" quotePrefix="0" xfId="0">
      <alignment vertical="center"/>
    </xf>
    <xf numFmtId="0" fontId="7" fillId="3" borderId="2" applyAlignment="1" pivotButton="0" quotePrefix="0" xfId="0">
      <alignment horizontal="center" vertical="center"/>
    </xf>
    <xf numFmtId="4" fontId="7" fillId="3" borderId="2" applyAlignment="1" pivotButton="0" quotePrefix="0" xfId="0">
      <alignment vertical="center"/>
    </xf>
    <xf numFmtId="3" fontId="7" fillId="3" borderId="2" applyAlignment="1" pivotButton="0" quotePrefix="0" xfId="0">
      <alignment vertical="center"/>
    </xf>
    <xf numFmtId="0" fontId="0" fillId="3" borderId="2" pivotButton="0" quotePrefix="0" xfId="0"/>
    <xf numFmtId="0" fontId="8" fillId="2" borderId="3" applyAlignment="1" pivotButton="0" quotePrefix="0" xfId="0">
      <alignment vertical="center"/>
    </xf>
    <xf numFmtId="3" fontId="8" fillId="2" borderId="3" applyAlignment="1" pivotButton="0" quotePrefix="0" xfId="0">
      <alignment vertical="center"/>
    </xf>
    <xf numFmtId="0" fontId="0" fillId="2" borderId="3" pivotButton="0" quotePrefix="0" xfId="0"/>
    <xf numFmtId="0" fontId="9" fillId="0" borderId="0" pivotButton="0" quotePrefix="0" xfId="0"/>
    <xf numFmtId="0" fontId="10" fillId="0" borderId="2" applyAlignment="1" pivotButton="0" quotePrefix="0" xfId="0">
      <alignment vertical="center"/>
    </xf>
    <xf numFmtId="0" fontId="11" fillId="0" borderId="2" applyAlignment="1" pivotButton="0" quotePrefix="0" xfId="0">
      <alignment vertical="center"/>
    </xf>
    <xf numFmtId="0" fontId="11" fillId="0" borderId="2" applyAlignment="1" pivotButton="0" quotePrefix="0" xfId="0">
      <alignment horizontal="center" vertical="center"/>
    </xf>
    <xf numFmtId="2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6" fontId="0" fillId="0" borderId="2" applyAlignment="1" pivotButton="0" quotePrefix="0" xfId="0">
      <alignment horizontal="center" vertical="center"/>
    </xf>
    <xf numFmtId="2" fontId="12" fillId="0" borderId="2" applyAlignment="1" pivotButton="0" quotePrefix="0" xfId="0">
      <alignment horizontal="center" vertical="center"/>
    </xf>
    <xf numFmtId="0" fontId="13" fillId="0" borderId="0" pivotButton="0" quotePrefix="0" xfId="0"/>
    <xf numFmtId="0" fontId="5" fillId="2" borderId="1" applyAlignment="1" pivotButton="0" quotePrefix="0" xfId="0">
      <alignment horizontal="left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vertical="center"/>
    </xf>
    <xf numFmtId="169" fontId="0" fillId="0" borderId="2" applyAlignment="1" pivotButton="0" quotePrefix="0" xfId="0">
      <alignment vertical="center"/>
    </xf>
    <xf numFmtId="0" fontId="10" fillId="3" borderId="2" applyAlignment="1" pivotButton="0" quotePrefix="0" xfId="0">
      <alignment vertical="center"/>
    </xf>
    <xf numFmtId="0" fontId="11" fillId="3" borderId="2" applyAlignment="1" pivotButton="0" quotePrefix="0" xfId="0">
      <alignment vertical="center"/>
    </xf>
    <xf numFmtId="0" fontId="11" fillId="3" borderId="2" applyAlignment="1" pivotButton="0" quotePrefix="0" xfId="0">
      <alignment horizontal="center" vertical="center"/>
    </xf>
    <xf numFmtId="167" fontId="0" fillId="3" borderId="2" applyAlignment="1" pivotButton="0" quotePrefix="0" xfId="0">
      <alignment horizontal="center" vertical="center"/>
    </xf>
    <xf numFmtId="168" fontId="0" fillId="3" borderId="2" applyAlignment="1" pivotButton="0" quotePrefix="0" xfId="0">
      <alignment vertical="center"/>
    </xf>
    <xf numFmtId="169" fontId="0" fillId="3" borderId="2" applyAlignment="1" pivotButton="0" quotePrefix="0" xfId="0">
      <alignment vertical="center"/>
    </xf>
    <xf numFmtId="3" fontId="0" fillId="0" borderId="2" applyAlignment="1" pivotButton="0" quotePrefix="0" xfId="0">
      <alignment horizontal="right" vertical="center"/>
    </xf>
    <xf numFmtId="3" fontId="0" fillId="3" borderId="2" applyAlignment="1" pivotButton="0" quotePrefix="0" xfId="0">
      <alignment horizontal="right" vertical="center"/>
    </xf>
    <xf numFmtId="3" fontId="0" fillId="0" borderId="2" applyAlignment="1" pivotButton="0" quotePrefix="0" xfId="0">
      <alignment vertical="center"/>
    </xf>
    <xf numFmtId="3" fontId="8" fillId="0" borderId="2" applyAlignment="1" pivotButton="0" quotePrefix="0" xfId="0">
      <alignment vertical="center"/>
    </xf>
    <xf numFmtId="3" fontId="2" fillId="0" borderId="2" applyAlignment="1" pivotButton="0" quotePrefix="0" xfId="0">
      <alignment vertical="center"/>
    </xf>
    <xf numFmtId="170" fontId="0" fillId="0" borderId="2" applyAlignment="1" pivotButton="0" quotePrefix="0" xfId="0">
      <alignment horizontal="center" vertical="center"/>
    </xf>
    <xf numFmtId="171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right" vertical="center" indent="1"/>
    </xf>
    <xf numFmtId="3" fontId="0" fillId="3" borderId="2" applyAlignment="1" pivotButton="0" quotePrefix="0" xfId="0">
      <alignment vertical="center"/>
    </xf>
    <xf numFmtId="3" fontId="8" fillId="3" borderId="2" applyAlignment="1" pivotButton="0" quotePrefix="0" xfId="0">
      <alignment vertical="center"/>
    </xf>
    <xf numFmtId="3" fontId="2" fillId="3" borderId="2" applyAlignment="1" pivotButton="0" quotePrefix="0" xfId="0">
      <alignment vertical="center"/>
    </xf>
    <xf numFmtId="170" fontId="0" fillId="3" borderId="2" applyAlignment="1" pivotButton="0" quotePrefix="0" xfId="0">
      <alignment horizontal="center" vertical="center"/>
    </xf>
    <xf numFmtId="171" fontId="0" fillId="3" borderId="2" applyAlignment="1" pivotButton="0" quotePrefix="0" xfId="0">
      <alignment horizontal="center" vertical="center"/>
    </xf>
    <xf numFmtId="168" fontId="0" fillId="3" borderId="2" applyAlignment="1" pivotButton="0" quotePrefix="0" xfId="0">
      <alignment horizontal="right" vertical="center" indent="1"/>
    </xf>
    <xf numFmtId="170" fontId="8" fillId="2" borderId="3" applyAlignment="1" pivotButton="0" quotePrefix="0" xfId="0">
      <alignment horizontal="center" vertical="center"/>
    </xf>
    <xf numFmtId="171" fontId="8" fillId="2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 vertical="center"/>
    </xf>
    <xf numFmtId="9" fontId="6" fillId="4" borderId="4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0" fontId="5" fillId="2" borderId="1" applyAlignment="1" pivotButton="0" quotePrefix="0" xfId="0">
      <alignment horizontal="left" vertical="center" wrapText="1" indent="1"/>
    </xf>
    <xf numFmtId="165" fontId="15" fillId="0" borderId="5" applyAlignment="1" pivotButton="0" quotePrefix="0" xfId="0">
      <alignment horizontal="center" vertical="center"/>
    </xf>
    <xf numFmtId="0" fontId="12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/>
    </xf>
    <xf numFmtId="0" fontId="8" fillId="0" borderId="2" applyAlignment="1" pivotButton="0" quotePrefix="0" xfId="0">
      <alignment horizontal="center" vertical="center"/>
    </xf>
    <xf numFmtId="0" fontId="14" fillId="0" borderId="2" applyAlignment="1" pivotButton="0" quotePrefix="0" xfId="0">
      <alignment horizontal="left" vertical="center" indent="1"/>
    </xf>
    <xf numFmtId="0" fontId="16" fillId="0" borderId="0" applyAlignment="1" pivotButton="0" quotePrefix="0" xfId="0">
      <alignment horizontal="center" vertical="center"/>
    </xf>
    <xf numFmtId="9" fontId="17" fillId="0" borderId="0" applyAlignment="1" pivotButton="0" quotePrefix="0" xfId="0">
      <alignment horizontal="center" vertical="center"/>
    </xf>
    <xf numFmtId="3" fontId="17" fillId="0" borderId="0" applyAlignment="1" pivotButton="0" quotePrefix="0" xfId="0">
      <alignment horizontal="right" vertical="center"/>
    </xf>
    <xf numFmtId="9" fontId="8" fillId="2" borderId="3" applyAlignment="1" pivotButton="0" quotePrefix="0" xfId="0">
      <alignment horizontal="center" vertical="center"/>
    </xf>
    <xf numFmtId="0" fontId="18" fillId="2" borderId="6" applyAlignment="1" pivotButton="0" quotePrefix="0" xfId="0">
      <alignment horizontal="center" vertical="center" wrapText="1"/>
    </xf>
    <xf numFmtId="0" fontId="0" fillId="0" borderId="6" pivotButton="0" quotePrefix="0" xfId="0"/>
    <xf numFmtId="0" fontId="5" fillId="2" borderId="6" applyAlignment="1" pivotButton="0" quotePrefix="0" xfId="0">
      <alignment horizontal="center" vertical="center" wrapText="1"/>
    </xf>
    <xf numFmtId="0" fontId="14" fillId="0" borderId="0" applyAlignment="1" pivotButton="0" quotePrefix="0" xfId="0">
      <alignment horizontal="left" vertical="center" wrapText="1" indent="1"/>
    </xf>
    <xf numFmtId="0" fontId="5" fillId="2" borderId="6" applyAlignment="1" pivotButton="0" quotePrefix="0" xfId="0">
      <alignment horizontal="left" vertical="center" indent="1"/>
    </xf>
    <xf numFmtId="0" fontId="19" fillId="5" borderId="6" applyAlignment="1" pivotButton="0" quotePrefix="0" xfId="0">
      <alignment horizontal="center" vertical="center" wrapText="1"/>
    </xf>
    <xf numFmtId="0" fontId="19" fillId="6" borderId="6" applyAlignment="1" pivotButton="0" quotePrefix="0" xfId="0">
      <alignment horizontal="center" vertical="center" wrapText="1"/>
    </xf>
    <xf numFmtId="0" fontId="19" fillId="7" borderId="6" applyAlignment="1" pivotButton="0" quotePrefix="0" xfId="0">
      <alignment horizontal="center" vertical="center" wrapText="1"/>
    </xf>
    <xf numFmtId="0" fontId="19" fillId="8" borderId="6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/>
    </xf>
    <xf numFmtId="0" fontId="20" fillId="0" borderId="2" pivotButton="0" quotePrefix="0" xfId="0"/>
    <xf numFmtId="0" fontId="21" fillId="0" borderId="0" applyAlignment="1" pivotButton="0" quotePrefix="0" xfId="0">
      <alignment horizontal="right" vertical="center"/>
    </xf>
    <xf numFmtId="171" fontId="6" fillId="4" borderId="4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3" fontId="7" fillId="4" borderId="7" applyAlignment="1" pivotButton="0" quotePrefix="0" xfId="0">
      <alignment horizontal="center" vertical="center"/>
    </xf>
    <xf numFmtId="3" fontId="11" fillId="0" borderId="2" applyAlignment="1" pivotButton="0" quotePrefix="0" xfId="0">
      <alignment vertical="center"/>
    </xf>
    <xf numFmtId="168" fontId="11" fillId="0" borderId="2" applyAlignment="1" pivotButton="0" quotePrefix="0" xfId="0">
      <alignment vertical="center"/>
    </xf>
    <xf numFmtId="1" fontId="0" fillId="0" borderId="2" applyAlignment="1" pivotButton="0" quotePrefix="0" xfId="0">
      <alignment horizontal="center" vertical="center"/>
    </xf>
    <xf numFmtId="0" fontId="10" fillId="3" borderId="2" applyAlignment="1" pivotButton="0" quotePrefix="0" xfId="0">
      <alignment horizontal="center" vertical="center"/>
    </xf>
    <xf numFmtId="2" fontId="0" fillId="3" borderId="2" applyAlignment="1" pivotButton="0" quotePrefix="0" xfId="0">
      <alignment horizontal="center" vertical="center"/>
    </xf>
    <xf numFmtId="3" fontId="11" fillId="3" borderId="2" applyAlignment="1" pivotButton="0" quotePrefix="0" xfId="0">
      <alignment vertical="center"/>
    </xf>
    <xf numFmtId="168" fontId="11" fillId="3" borderId="2" applyAlignment="1" pivotButton="0" quotePrefix="0" xfId="0">
      <alignment vertical="center"/>
    </xf>
    <xf numFmtId="1" fontId="0" fillId="3" borderId="2" applyAlignment="1" pivotButton="0" quotePrefix="0" xfId="0">
      <alignment horizontal="center" vertical="center"/>
    </xf>
    <xf numFmtId="0" fontId="0" fillId="3" borderId="2" applyAlignment="1" pivotButton="0" quotePrefix="0" xfId="0">
      <alignment horizontal="center" vertical="center"/>
    </xf>
    <xf numFmtId="172" fontId="8" fillId="2" borderId="3" applyAlignment="1" pivotButton="0" quotePrefix="0" xfId="0">
      <alignment horizontal="center" vertical="center"/>
    </xf>
  </cellXfs>
  <cellStyles count="1">
    <cellStyle name="Normal" xfId="0" builtinId="0" hidden="0"/>
  </cellStyles>
  <dxfs count="9">
    <dxf>
      <font>
        <b val="1"/>
        <color rgb="008A3B12"/>
      </font>
    </dxf>
    <dxf>
      <font>
        <color rgb="00006300"/>
      </font>
    </dxf>
    <dxf>
      <font>
        <color rgb="00B42318"/>
      </font>
    </dxf>
    <dxf>
      <font>
        <b val="1"/>
        <color rgb="000D366B"/>
      </font>
      <fill>
        <patternFill patternType="solid">
          <fgColor rgb="009EC5F4"/>
          <bgColor rgb="009EC5F4"/>
        </patternFill>
      </fill>
    </dxf>
    <dxf>
      <font>
        <b val="1"/>
        <color rgb="00184F95"/>
      </font>
      <fill>
        <patternFill patternType="solid">
          <fgColor rgb="00CDE2FB"/>
          <bgColor rgb="00CDE2FB"/>
        </patternFill>
      </fill>
    </dxf>
    <dxf>
      <font>
        <b val="1"/>
        <color rgb="0052514E"/>
      </font>
      <fill>
        <patternFill patternType="solid">
          <fgColor rgb="00EEEDE8"/>
          <bgColor rgb="00EEEDE8"/>
        </patternFill>
      </fill>
    </dxf>
    <dxf>
      <font>
        <color rgb="00C3C2B7"/>
      </font>
    </dxf>
    <dxf>
      <font>
        <b val="1"/>
        <color rgb="008A3B12"/>
      </font>
      <fill>
        <patternFill patternType="solid">
          <fgColor rgb="00FBE3D6"/>
          <bgColor rgb="00FBE3D6"/>
        </patternFill>
      </fill>
    </dxf>
    <dxf>
      <font>
        <color rgb="001E6B1E"/>
      </font>
      <fill>
        <patternFill patternType="solid">
          <fgColor rgb="00DDF2DD"/>
          <bgColor rgb="00DDF2D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autoTitleDeleted val="1"/>
    <plotArea>
      <scatterChart>
        <scatterStyle val="lineMarker"/>
        <varyColors val="0"/>
        <ser>
          <idx val="0"/>
          <order val="0"/>
          <tx>
            <strRef>
              <f>'Дашборд'!$AE$5</f>
            </strRef>
          </tx>
          <spPr>
            <a:ln xmlns:a="http://schemas.openxmlformats.org/drawingml/2006/main" w="28575" cap="rnd">
              <a:solidFill>
                <a:srgbClr val="2A78D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'Дашборд'!$AC$6:$AC$29</f>
            </numRef>
          </xVal>
          <yVal>
            <numRef>
              <f>'Дашборд'!$AE$6:$AE$29</f>
            </numRef>
          </yVal>
          <smooth val="0"/>
        </ser>
        <ser>
          <idx val="1"/>
          <order val="1"/>
          <tx>
            <strRef>
              <f>'Дашборд'!$AF$5</f>
            </strRef>
          </tx>
          <spPr>
            <a:ln xmlns:a="http://schemas.openxmlformats.org/drawingml/2006/main" w="15875" cap="rnd">
              <a:solidFill>
                <a:srgbClr val="89878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'Дашборд'!$AC$6:$AC$29</f>
            </numRef>
          </xVal>
          <yVal>
            <numRef>
              <f>'Дашборд'!$AF$6:$AF$29</f>
            </numRef>
          </yVal>
          <smooth val="0"/>
        </ser>
        <ser>
          <idx val="2"/>
          <order val="2"/>
          <tx>
            <strRef>
              <f>'Дашборд'!$AG$5</f>
            </strRef>
          </tx>
          <spPr>
            <a:ln xmlns:a="http://schemas.openxmlformats.org/drawingml/2006/main" w="28575" cap="rnd">
              <a:solidFill>
                <a:srgbClr val="EB683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'Дашборд'!$AC$29:$AC$41</f>
            </numRef>
          </xVal>
          <yVal>
            <numRef>
              <f>'Дашборд'!$AG$29:$AG$41</f>
            </numRef>
          </yVal>
          <smooth val="0"/>
        </ser>
        <ser>
          <idx val="3"/>
          <order val="3"/>
          <tx>
            <v>прогноз →</v>
          </tx>
          <spPr>
            <a:ln xmlns:a="http://schemas.openxmlformats.org/drawingml/2006/main" w="12700" cap="rnd">
              <a:solidFill>
                <a:srgbClr val="C3C2B7"/>
              </a:solidFill>
              <a:prstDash val="sys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dLbls>
            <dLbl>
              <idx val="1"/>
              <txPr>
                <a:bodyPr xmlns:a="http://schemas.openxmlformats.org/drawingml/2006/main"/>
                <a:p xmlns:a="http://schemas.openxmlformats.org/drawingml/2006/main">
                  <a:pPr>
                    <a:defRPr sz="850" b="0">
                      <a:solidFill>
                        <a:srgbClr val="898781"/>
                      </a:solidFill>
                      <a:latin typeface="Calibri"/>
                      <a:cs typeface="Calibri"/>
                    </a:defRPr>
                  </a:pPr>
                  <a:r>
                    <a:t/>
                  </a:r>
                  <a:endParaRPr sz="850" b="0">
                    <a:solidFill>
                      <a:srgbClr val="898781"/>
                    </a:solidFill>
                    <a:latin typeface="Calibri"/>
                    <a:cs typeface="Calibri"/>
                  </a:endParaRPr>
                </a:p>
              </txPr>
              <dLblPos val="r"/>
              <showLegendKey val="0"/>
              <showVal val="0"/>
              <showCatName val="0"/>
              <showSerName val="1"/>
              <showPercent val="0"/>
              <showBubbleSize val="0"/>
            </dLbl>
            <showLegendKey val="0"/>
            <showVal val="0"/>
            <showCatName val="0"/>
            <showSerName val="0"/>
            <showPercent val="0"/>
            <showBubbleSize val="0"/>
          </dLbls>
          <xVal>
            <numRef>
              <f>'Дашборд'!$AC$43:$AC$44</f>
            </numRef>
          </xVal>
          <yVal>
            <numRef>
              <f>'Дашборд'!$AE$43:$AE$44</f>
            </numRef>
          </yVal>
          <smooth val="0"/>
        </ser>
        <axId val="10"/>
        <axId val="20"/>
      </scatterChart>
      <valAx>
        <axId val="10"/>
        <scaling>
          <orientation val="minMax"/>
          <max val="46631"/>
          <min val="45566"/>
        </scaling>
        <delete val="0"/>
        <axPos val="l"/>
        <numFmt formatCode="[$-419]MMM YY" sourceLinked="0"/>
        <majorTickMark val="out"/>
        <minorTickMark val="none"/>
        <spPr>
          <a:ln xmlns:a="http://schemas.openxmlformats.org/drawingml/2006/main" w="9525">
            <a:solidFill>
              <a:srgbClr val="C3C2B7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5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50" b="0">
              <a:solidFill>
                <a:srgbClr val="898781"/>
              </a:solidFill>
              <a:latin typeface="Calibri"/>
              <a:cs typeface="Calibri"/>
            </a:endParaRPr>
          </a:p>
        </txPr>
        <crossAx val="20"/>
        <majorUnit val="182.625"/>
      </valAx>
      <valAx>
        <axId val="2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E1E0D9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5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50" b="0">
              <a:solidFill>
                <a:srgbClr val="898781"/>
              </a:solidFill>
              <a:latin typeface="Calibri"/>
              <a:cs typeface="Calibri"/>
            </a:endParaRPr>
          </a:p>
        </txPr>
        <crossAx val="10"/>
        <crosses val="autoZero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t"/>
      <legendEntry>
        <idx val="3"/>
        <delete val="1"/>
      </legendEntry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52514E"/>
              </a:solidFill>
              <a:latin typeface="Calibri"/>
              <a:cs typeface="Calibri"/>
            </a:defRPr>
          </a:pPr>
          <a:r>
            <a:t/>
          </a:r>
          <a:endParaRPr sz="900" b="0">
            <a:solidFill>
              <a:srgbClr val="52514E"/>
            </a:solidFill>
            <a:latin typeface="Calibri"/>
            <a:cs typeface="Calibri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>
      <a:noFill/>
      <a:prstDash val="solid"/>
    </a:ln>
  </spPr>
  <txPr>
    <a:bodyPr xmlns:a="http://schemas.openxmlformats.org/drawingml/2006/main"/>
    <a:p xmlns:a="http://schemas.openxmlformats.org/drawingml/2006/main">
      <a:pPr>
        <a:defRPr sz="900" b="0">
          <a:solidFill>
            <a:srgbClr val="52514E"/>
          </a:solidFill>
          <a:latin typeface="Calibri"/>
          <a:cs typeface="Calibri"/>
        </a:defRPr>
      </a:pPr>
      <a:r>
        <a:t/>
      </a:r>
      <a:endParaRPr sz="900" b="0">
        <a:solidFill>
          <a:srgbClr val="52514E"/>
        </a:solidFill>
        <a:latin typeface="Calibri"/>
        <a:cs typeface="Calibri"/>
      </a:endParaRPr>
    </a:p>
  </txPr>
</chartSpace>
</file>

<file path=xl/charts/chart2.xml><?xml version="1.0" encoding="utf-8"?>
<chartSpace xmlns="http://schemas.openxmlformats.org/drawingml/2006/chart">
  <chart>
    <autoTitleDeleted val="1"/>
    <plotArea>
      <layout>
        <manualLayout>
          <layoutTarget val="inner"/>
          <xMode val="edge"/>
          <yMode val="edge"/>
          <wMode val="factor"/>
          <hMode val="factor"/>
          <x val="0.08500000000000001"/>
          <y val="0.19"/>
          <w val="0.885"/>
          <h val="0.6899999999999999"/>
        </manualLayout>
      </layout>
      <barChart>
        <barDir val="col"/>
        <grouping val="clustered"/>
        <ser>
          <idx val="0"/>
          <order val="0"/>
          <tx>
            <strRef>
              <f>'ABC-XYZ'!E7</f>
            </strRef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noFill/>
              <a:prstDash val="solid"/>
            </a:ln>
          </spPr>
          <cat>
            <numRef>
              <f>'ABC-XYZ'!$B$8:$B$19</f>
            </numRef>
          </cat>
          <val>
            <numRef>
              <f>'ABC-XYZ'!$E$8:$E$19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'ABC-XYZ'!F7</f>
            </strRef>
          </tx>
          <spPr>
            <a:ln xmlns:a="http://schemas.openxmlformats.org/drawingml/2006/main" w="25400" cap="rnd">
              <a:solidFill>
                <a:srgbClr val="52514E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52514E"/>
              </a:solidFill>
              <a:ln xmlns:a="http://schemas.openxmlformats.org/drawingml/2006/main" w="9525">
                <a:solidFill>
                  <a:srgbClr val="FFFFFF"/>
                </a:solidFill>
                <a:prstDash val="solid"/>
              </a:ln>
            </spPr>
          </marker>
          <val>
            <numRef>
              <f>'ABC-XYZ'!$F$8:$F$19</f>
            </numRef>
          </val>
          <smooth val="0"/>
        </ser>
        <ser>
          <idx val="2"/>
          <order val="2"/>
          <tx>
            <strRef>
              <f>'ABC-XYZ'!T7</f>
            </strRef>
          </tx>
          <spPr>
            <a:ln xmlns:a="http://schemas.openxmlformats.org/drawingml/2006/main" w="12700" cap="rnd">
              <a:solidFill>
                <a:srgbClr val="898781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'ABC-XYZ'!$T$8:$T$19</f>
            </numRef>
          </val>
          <smooth val="0"/>
        </ser>
        <ser>
          <idx val="3"/>
          <order val="3"/>
          <tx>
            <strRef>
              <f>'ABC-XYZ'!U7</f>
            </strRef>
          </tx>
          <spPr>
            <a:ln xmlns:a="http://schemas.openxmlformats.org/drawingml/2006/main" w="12700" cap="rnd">
              <a:solidFill>
                <a:srgbClr val="C3C2B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'ABC-XYZ'!$U$8:$U$19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 w="9525">
            <a:solidFill>
              <a:srgbClr val="C3C2B7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0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00" b="0">
              <a:solidFill>
                <a:srgbClr val="898781"/>
              </a:solidFill>
              <a:latin typeface="Calibri"/>
              <a:cs typeface="Calibri"/>
            </a:endParaRPr>
          </a:p>
        </txPr>
        <crossAx val="100"/>
        <lblOffset val="100"/>
      </catAx>
      <valAx>
        <axId val="100"/>
        <scaling>
          <orientation val="minMax"/>
          <max val="1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E1E0D9"/>
              </a:solidFill>
              <a:prstDash val="solid"/>
            </a:ln>
          </spPr>
        </majorGridlines>
        <numFmt formatCode="0%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5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50" b="0">
              <a:solidFill>
                <a:srgbClr val="898781"/>
              </a:solidFill>
              <a:latin typeface="Calibri"/>
              <a:cs typeface="Calibri"/>
            </a:endParaRPr>
          </a:p>
        </txPr>
        <crossAx val="10"/>
        <crosses val="autoZero"/>
        <majorUnit val="0.2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t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52514E"/>
              </a:solidFill>
              <a:latin typeface="Calibri"/>
              <a:cs typeface="Calibri"/>
            </a:defRPr>
          </a:pPr>
          <a:r>
            <a:t/>
          </a:r>
          <a:endParaRPr sz="900" b="0">
            <a:solidFill>
              <a:srgbClr val="52514E"/>
            </a:solidFill>
            <a:latin typeface="Calibri"/>
            <a:cs typeface="Calibri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>
      <a:noFill/>
      <a:prstDash val="solid"/>
    </a:ln>
  </spPr>
  <txPr>
    <a:bodyPr xmlns:a="http://schemas.openxmlformats.org/drawingml/2006/main"/>
    <a:p xmlns:a="http://schemas.openxmlformats.org/drawingml/2006/main">
      <a:pPr>
        <a:defRPr sz="900" b="0">
          <a:solidFill>
            <a:srgbClr val="52514E"/>
          </a:solidFill>
          <a:latin typeface="Calibri"/>
          <a:cs typeface="Calibri"/>
        </a:defRPr>
      </a:pPr>
      <a:r>
        <a:t/>
      </a:r>
      <a:endParaRPr sz="900" b="0">
        <a:solidFill>
          <a:srgbClr val="52514E"/>
        </a:solidFill>
        <a:latin typeface="Calibri"/>
        <a:cs typeface="Calibri"/>
      </a:endParaRPr>
    </a:p>
  </txPr>
</chartSpace>
</file>

<file path=xl/charts/chart3.xml><?xml version="1.0" encoding="utf-8"?>
<chartSpace xmlns="http://schemas.openxmlformats.org/drawingml/2006/chart">
  <chart>
    <autoTitleDeleted val="1"/>
    <plotArea>
      <layout>
        <manualLayout>
          <layoutTarget val="inner"/>
          <xMode val="edge"/>
          <yMode val="edge"/>
          <wMode val="factor"/>
          <hMode val="factor"/>
          <x val="0.1"/>
          <y val="0.19"/>
          <w val="0.87"/>
          <h val="0.6899999999999999"/>
        </manualLayout>
      </layout>
      <barChart>
        <barDir val="col"/>
        <grouping val="clustered"/>
        <ser>
          <idx val="0"/>
          <order val="0"/>
          <tx>
            <strRef>
              <f>'Дашборд'!AH5</f>
            </strRef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noFill/>
              <a:prstDash val="solid"/>
            </a:ln>
          </spPr>
          <cat>
            <numRef>
              <f>'Дашборд'!$AD$6:$AD$41</f>
            </numRef>
          </cat>
          <val>
            <numRef>
              <f>'Дашборд'!$AH$6:$AH$41</f>
            </numRef>
          </val>
        </ser>
        <ser>
          <idx val="1"/>
          <order val="1"/>
          <tx>
            <strRef>
              <f>'Дашборд'!AI5</f>
            </strRef>
          </tx>
          <spPr>
            <a:solidFill xmlns:a="http://schemas.openxmlformats.org/drawingml/2006/main">
              <a:srgbClr val="EB6834"/>
            </a:solidFill>
            <a:ln xmlns:a="http://schemas.openxmlformats.org/drawingml/2006/main">
              <a:noFill/>
              <a:prstDash val="solid"/>
            </a:ln>
          </spPr>
          <cat>
            <numRef>
              <f>'Дашборд'!$AD$6:$AD$41</f>
            </numRef>
          </cat>
          <val>
            <numRef>
              <f>'Дашборд'!$AI$6:$AI$41</f>
            </numRef>
          </val>
        </ser>
        <gapWidth val="4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 w="9525">
            <a:solidFill>
              <a:srgbClr val="C3C2B7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5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50" b="0">
              <a:solidFill>
                <a:srgbClr val="898781"/>
              </a:solidFill>
              <a:latin typeface="Calibri"/>
              <a:cs typeface="Calibri"/>
            </a:endParaRPr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xmlns:a="http://schemas.openxmlformats.org/drawingml/2006/main" w="9525">
              <a:solidFill>
                <a:srgbClr val="E1E0D9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 xmlns:a="http://schemas.openxmlformats.org/drawingml/2006/main">
            <a:noFill/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850" b="0">
                <a:solidFill>
                  <a:srgbClr val="898781"/>
                </a:solidFill>
                <a:latin typeface="Calibri"/>
                <a:cs typeface="Calibri"/>
              </a:defRPr>
            </a:pPr>
            <a:r>
              <a:t/>
            </a:r>
            <a:endParaRPr sz="850" b="0">
              <a:solidFill>
                <a:srgbClr val="898781"/>
              </a:solidFill>
              <a:latin typeface="Calibri"/>
              <a:cs typeface="Calibri"/>
            </a:endParaRPr>
          </a:p>
        </txPr>
        <crossAx val="10"/>
        <crosses val="autoZero"/>
      </valAx>
      <spPr>
        <a:noFill xmlns:a="http://schemas.openxmlformats.org/drawingml/2006/main"/>
        <a:ln xmlns:a="http://schemas.openxmlformats.org/drawingml/2006/main">
          <a:noFill/>
          <a:prstDash val="solid"/>
        </a:ln>
      </spPr>
    </plotArea>
    <legend>
      <legendPos val="t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52514E"/>
              </a:solidFill>
              <a:latin typeface="Calibri"/>
              <a:cs typeface="Calibri"/>
            </a:defRPr>
          </a:pPr>
          <a:r>
            <a:t/>
          </a:r>
          <a:endParaRPr sz="900" b="0">
            <a:solidFill>
              <a:srgbClr val="52514E"/>
            </a:solidFill>
            <a:latin typeface="Calibri"/>
            <a:cs typeface="Calibri"/>
          </a:endParaRPr>
        </a:p>
      </txPr>
    </legend>
    <plotVisOnly val="1"/>
    <dispBlanksAs val="gap"/>
  </chart>
  <spPr>
    <a:solidFill xmlns:a="http://schemas.openxmlformats.org/drawingml/2006/main">
      <a:srgbClr val="FFFFFF"/>
    </a:solidFill>
    <a:ln xmlns:a="http://schemas.openxmlformats.org/drawingml/2006/main">
      <a:noFill/>
      <a:prstDash val="solid"/>
    </a:ln>
  </spPr>
  <txPr>
    <a:bodyPr xmlns:a="http://schemas.openxmlformats.org/drawingml/2006/main"/>
    <a:p xmlns:a="http://schemas.openxmlformats.org/drawingml/2006/main">
      <a:pPr>
        <a:defRPr sz="900" b="0">
          <a:solidFill>
            <a:srgbClr val="52514E"/>
          </a:solidFill>
          <a:latin typeface="Calibri"/>
          <a:cs typeface="Calibri"/>
        </a:defRPr>
      </a:pPr>
      <a:r>
        <a:t/>
      </a:r>
      <a:endParaRPr sz="900" b="0">
        <a:solidFill>
          <a:srgbClr val="52514E"/>
        </a:solidFill>
        <a:latin typeface="Calibri"/>
        <a:cs typeface="Calibri"/>
      </a:endParaRPr>
    </a:p>
  </tx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twoCellAnchor>
    <from>
      <col>1</col>
      <colOff>0</colOff>
      <row>12</row>
      <rowOff>0</rowOff>
    </from>
    <to>
      <col>24</col>
      <colOff>0</colOff>
      <row>28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1</col>
      <colOff>0</colOff>
      <row>30</row>
      <rowOff>0</rowOff>
    </from>
    <to>
      <col>12</col>
      <colOff>0</colOff>
      <row>45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>
    <from>
      <col>13</col>
      <colOff>0</colOff>
      <row>30</row>
      <rowOff>0</rowOff>
    </from>
    <to>
      <col>24</col>
      <colOff>0</colOff>
      <row>45</row>
      <rowOff>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2328"/>
    <outlinePr summaryBelow="1" summaryRight="1"/>
    <pageSetUpPr fitToPage="1"/>
  </sheetPr>
  <dimension ref="A1:AI51"/>
  <sheetViews>
    <sheetView showGridLines="0" zoomScale="100" workbookViewId="0">
      <selection activeCell="A1" sqref="A1"/>
    </sheetView>
  </sheetViews>
  <sheetFormatPr baseColWidth="8" defaultRowHeight="15"/>
  <cols>
    <col width="2.2" customWidth="1" min="1" max="1"/>
    <col width="7" customWidth="1" min="2" max="2"/>
    <col width="7" customWidth="1" min="3" max="3"/>
    <col width="7" customWidth="1" min="4" max="4"/>
    <col width="1.6" customWidth="1" min="5" max="5"/>
    <col width="7" customWidth="1" min="6" max="6"/>
    <col width="7" customWidth="1" min="7" max="7"/>
    <col width="7" customWidth="1" min="8" max="8"/>
    <col width="1.6" customWidth="1" min="9" max="9"/>
    <col width="7" customWidth="1" min="10" max="10"/>
    <col width="7" customWidth="1" min="11" max="11"/>
    <col width="7" customWidth="1" min="12" max="12"/>
    <col width="1.6" customWidth="1" min="13" max="13"/>
    <col width="7" customWidth="1" min="14" max="14"/>
    <col width="7" customWidth="1" min="15" max="15"/>
    <col width="7" customWidth="1" min="16" max="16"/>
    <col width="1.6" customWidth="1" min="17" max="17"/>
    <col width="7" customWidth="1" min="18" max="18"/>
    <col width="7" customWidth="1" min="19" max="19"/>
    <col width="7" customWidth="1" min="20" max="20"/>
    <col width="1.6" customWidth="1" min="21" max="21"/>
    <col width="7" customWidth="1" min="22" max="22"/>
    <col width="7" customWidth="1" min="23" max="23"/>
    <col width="7" customWidth="1" min="24" max="24"/>
    <col width="2.2" customWidth="1" min="25" max="25"/>
    <col width="3" customWidth="1" min="26" max="26"/>
    <col width="3" customWidth="1" min="27" max="27"/>
    <col width="5" customWidth="1" min="28" max="28"/>
    <col width="9" customWidth="1" min="29" max="29"/>
    <col width="8" customWidth="1" min="30" max="30"/>
    <col width="10" customWidth="1" min="31" max="31"/>
    <col width="10" customWidth="1" min="32" max="32"/>
    <col width="10" customWidth="1" min="33" max="33"/>
    <col width="11" customWidth="1" min="34" max="34"/>
    <col width="11" customWidth="1" min="35" max="35"/>
  </cols>
  <sheetData>
    <row r="1" ht="1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</row>
    <row r="2" ht="30" customHeight="1">
      <c r="A2" s="1" t="n"/>
      <c r="B2" s="2" t="inlineStr">
        <is>
          <t>Планирование спроса и закупок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3" t="inlineStr">
        <is>
          <t>«Зерно и пар» · сеть из 4 кофеен</t>
        </is>
      </c>
      <c r="Y2" s="1" t="n"/>
      <c r="AB2" s="4" t="inlineStr">
        <is>
          <t>Служебная таблица для графиков (вне области печати)</t>
        </is>
      </c>
    </row>
    <row r="3" ht="18" customHeight="1">
      <c r="A3" s="1" t="n"/>
      <c r="B3" s="5" t="inlineStr">
        <is>
          <t>Факт: окт 2024 — сен 2026 · прогноз: окт 2026 — сен 2027 · остатки и заказ на 01.10.2026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AB3" s="6" t="inlineStr">
        <is>
          <t>Строка SKU</t>
        </is>
      </c>
      <c r="AD3" s="7">
        <f>MATCH(Sel_SKU,SKU_Codes,0)</f>
        <v>7</v>
      </c>
      <c r="AE3" s="8" t="inlineStr">
        <is>
          <t>Мес. факта</t>
        </is>
      </c>
      <c r="AF3" s="7">
        <f>COUNT(Periods)</f>
        <v>24</v>
      </c>
    </row>
    <row r="4" ht="10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</row>
    <row r="5" ht="34" customHeight="1">
      <c r="A5" s="1" t="n"/>
      <c r="B5" s="9" t="inlineStr">
        <is>
          <t>Выберите SKU ▸</t>
        </is>
      </c>
      <c r="E5" s="1" t="n"/>
      <c r="F5" s="10" t="inlineStr">
        <is>
          <t>CUP-07</t>
        </is>
      </c>
      <c r="G5" s="11" t="n"/>
      <c r="H5" s="12" t="n"/>
      <c r="I5" s="1" t="n"/>
      <c r="J5" s="13" t="str">
        <f>INDEX(SKU_Names,Sel_Row)</f>
        <v>Стакан бумажный 300 мл</v>
      </c>
      <c r="Q5" s="1" t="n"/>
      <c r="R5" s="14" t="str">
        <f>INDEX('Данные'!$C$7:$C$18,Sel_Row)&amp;" · "&amp;INDEX('Данные'!$D$7:$D$18,Sel_Row)&amp;" · класс "&amp;INDEX('Закупки'!$D$7:$D$18,Sel_Row)&amp;CHAR(10)&amp;INDEX('ABC-XYZ'!$N$8:$N$19,MATCH(Sel_SKU,'ABC-XYZ'!$B$8:$B$19,0))</f>
        <v>Упаковка · шт. · класс BY
Плановые поставки, умеренный страховой запас</v>
      </c>
      <c r="Y5" s="1" t="n"/>
      <c r="AB5" s="15" t="inlineStr">
        <is>
          <t>k</t>
        </is>
      </c>
      <c r="AC5" s="15" t="inlineStr">
        <is>
          <t>Месяц</t>
        </is>
      </c>
      <c r="AD5" s="15" t="inlineStr">
        <is>
          <t>Подпись</t>
        </is>
      </c>
      <c r="AE5" s="15" t="inlineStr">
        <is>
          <t>Факт</t>
        </is>
      </c>
      <c r="AF5" s="15" t="inlineStr">
        <is>
          <t>Модель</t>
        </is>
      </c>
      <c r="AG5" s="15" t="inlineStr">
        <is>
          <t>Прогноз</t>
        </is>
      </c>
      <c r="AH5" s="15" t="inlineStr">
        <is>
          <t>Факт, тыс. ₽</t>
        </is>
      </c>
      <c r="AI5" s="15" t="inlineStr">
        <is>
          <t>Прогноз, тыс. ₽</t>
        </is>
      </c>
    </row>
    <row r="6" ht="12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AB6" s="16" t="n">
        <v>1</v>
      </c>
      <c r="AC6" s="17">
        <f>EDATE('Данные'!$F$6,AB6-1)</f>
        <v>45566.0</v>
      </c>
      <c r="AD6" s="16" t="str">
        <f>IF(MOD(AB6-1,6)=0,INDEX({"янв","фев","мар","апр","май","июн","июл","авг","сен","окт","ноя","дек"},MONTH(AC6))&amp;" "&amp;RIGHT(YEAR(AC6),2),"")</f>
        <v>окт 24</v>
      </c>
      <c r="AE6" s="18">
        <f>IF(AB6&lt;=N_Hist,INDEX(Sales,Sel_Row,AB6),"")</f>
        <v>11612</v>
      </c>
      <c r="AF6" s="18">
        <f>IF(AB6&lt;=N_Hist,INDEX('Прогноз'!$D$25:$AA$36,Sel_Row,AB6),"")</f>
        <v>11575.6626338407</v>
      </c>
      <c r="AG6" s="18" t="str">
        <f>IF(AB6&lt;N_Hist,"",IF(AB6=N_Hist,AE6,INDEX('Прогноз'!$D$7:$O$18,Sel_Row,AB6-N_Hist)))</f>
        <v/>
      </c>
      <c r="AH6" s="18">
        <f>IF(AB6&lt;=N_Hist,INDEX('Данные'!$F$19:$AC$19,AB6),NA())</f>
        <v>1709.3069</v>
      </c>
      <c r="AI6" s="18" t="e">
        <f>IF(AB6&gt;N_Hist,INDEX('Прогноз'!$D$19:$O$19,AB6-N_Hist),NA())</f>
        <v>#N/A</v>
      </c>
    </row>
    <row r="7" ht="20" customHeight="1">
      <c r="A7" s="1" t="n"/>
      <c r="B7" s="19" t="str">
        <f>"Факт за 12 мес., "&amp;INDEX('Данные'!$D$7:$D$18,Sel_Row)</f>
        <v>Факт за 12 мес., шт.</v>
      </c>
      <c r="C7" s="20" t="n"/>
      <c r="D7" s="21" t="n"/>
      <c r="E7" s="1" t="n"/>
      <c r="F7" s="19" t="str">
        <f>"Прогноз на 12 мес., "&amp;INDEX('Данные'!$D$7:$D$18,Sel_Row)</f>
        <v>Прогноз на 12 мес., шт.</v>
      </c>
      <c r="G7" s="20" t="n"/>
      <c r="H7" s="21" t="n"/>
      <c r="I7" s="1" t="n"/>
      <c r="J7" s="19" t="str">
        <f>"Прогноз на окт 2026, "&amp;INDEX('Данные'!$D$7:$D$18,Sel_Row)</f>
        <v>Прогноз на окт 2026, шт.</v>
      </c>
      <c r="K7" s="20" t="n"/>
      <c r="L7" s="21" t="n"/>
      <c r="M7" s="1" t="n"/>
      <c r="N7" s="19" t="str">
        <f>"Страховой запас, "&amp;INDEX('Данные'!$D$7:$D$18,Sel_Row)</f>
        <v>Страховой запас, шт.</v>
      </c>
      <c r="O7" s="20" t="n"/>
      <c r="P7" s="21" t="n"/>
      <c r="Q7" s="1" t="n"/>
      <c r="R7" s="19" t="str">
        <f>"Точка заказа, "&amp;INDEX('Данные'!$D$7:$D$18,Sel_Row)</f>
        <v>Точка заказа, шт.</v>
      </c>
      <c r="S7" s="20" t="n"/>
      <c r="T7" s="21" t="n"/>
      <c r="U7" s="1" t="n"/>
      <c r="V7" s="19" t="str">
        <f>"К заказу сейчас, "&amp;INDEX('Данные'!$D$7:$D$18,Sel_Row)</f>
        <v>К заказу сейчас, шт.</v>
      </c>
      <c r="W7" s="20" t="n"/>
      <c r="X7" s="21" t="n"/>
      <c r="Y7" s="1" t="n"/>
      <c r="AB7" s="16" t="n">
        <v>2</v>
      </c>
      <c r="AC7" s="17">
        <f>EDATE('Данные'!$F$6,AB7-1)</f>
        <v>45597.0</v>
      </c>
      <c r="AD7" s="16" t="str">
        <f>IF(MOD(AB7-1,6)=0,INDEX({"янв","фев","мар","апр","май","июн","июл","авг","сен","окт","ноя","дек"},MONTH(AC7))&amp;" "&amp;RIGHT(YEAR(AC7),2),"")</f>
        <v/>
      </c>
      <c r="AE7" s="18">
        <f>IF(AB7&lt;=N_Hist,INDEX(Sales,Sel_Row,AB7),"")</f>
        <v>11985</v>
      </c>
      <c r="AF7" s="18">
        <f>IF(AB7&lt;=N_Hist,INDEX('Прогноз'!$D$25:$AA$36,Sel_Row,AB7),"")</f>
        <v>10905.768268601</v>
      </c>
      <c r="AG7" s="18" t="str">
        <f>IF(AB7&lt;N_Hist,"",IF(AB7=N_Hist,AE7,INDEX('Прогноз'!$D$7:$O$18,Sel_Row,AB7-N_Hist)))</f>
        <v/>
      </c>
      <c r="AH7" s="18">
        <f>IF(AB7&lt;=N_Hist,INDEX('Данные'!$F$19:$AC$19,AB7),NA())</f>
        <v>1745.9905</v>
      </c>
      <c r="AI7" s="18" t="e">
        <f>IF(AB7&gt;N_Hist,INDEX('Прогноз'!$D$19:$O$19,AB7-N_Hist),NA())</f>
        <v>#N/A</v>
      </c>
    </row>
    <row r="8" ht="34" customHeight="1">
      <c r="A8" s="1" t="n"/>
      <c r="B8" s="22">
        <f>SUM(INDEX('Данные'!$R$7:$AC$18,Sel_Row,0))</f>
        <v>184203</v>
      </c>
      <c r="C8" s="23" t="n"/>
      <c r="D8" s="24" t="n"/>
      <c r="E8" s="1" t="n"/>
      <c r="F8" s="22">
        <f>INDEX('Прогноз'!$P$7:$P$18,Sel_Row)</f>
        <v>204543.118661174</v>
      </c>
      <c r="G8" s="23" t="n"/>
      <c r="H8" s="24" t="n"/>
      <c r="I8" s="1" t="n"/>
      <c r="J8" s="22">
        <f>INDEX('Прогноз'!$D$7:$D$18,Sel_Row)</f>
        <v>14681.3655042123</v>
      </c>
      <c r="K8" s="23" t="n"/>
      <c r="L8" s="24" t="n"/>
      <c r="M8" s="1" t="n"/>
      <c r="N8" s="22">
        <f>INDEX('Закупки'!$L$7:$L$18,Sel_Row)</f>
        <v>638.48930621468</v>
      </c>
      <c r="O8" s="23" t="n"/>
      <c r="P8" s="24" t="n"/>
      <c r="Q8" s="1" t="n"/>
      <c r="R8" s="22">
        <f>INDEX('Закупки'!$N$7:$N$18,Sel_Row)</f>
        <v>7489.79320818042</v>
      </c>
      <c r="S8" s="23" t="n"/>
      <c r="T8" s="24" t="n"/>
      <c r="U8" s="1" t="n"/>
      <c r="V8" s="22">
        <f>INDEX('Закупки'!$U$7:$U$18,Sel_Row)</f>
        <v>8000</v>
      </c>
      <c r="W8" s="23" t="n"/>
      <c r="X8" s="24" t="n"/>
      <c r="Y8" s="1" t="n"/>
      <c r="AB8" s="16" t="n">
        <v>3</v>
      </c>
      <c r="AC8" s="17">
        <f>EDATE('Данные'!$F$6,AB8-1)</f>
        <v>45627.0</v>
      </c>
      <c r="AD8" s="16" t="str">
        <f>IF(MOD(AB8-1,6)=0,INDEX({"янв","фев","мар","апр","май","июн","июл","авг","сен","окт","ноя","дек"},MONTH(AC8))&amp;" "&amp;RIGHT(YEAR(AC8),2),"")</f>
        <v/>
      </c>
      <c r="AE8" s="18">
        <f>IF(AB8&lt;=N_Hist,INDEX(Sales,Sel_Row,AB8),"")</f>
        <v>12360</v>
      </c>
      <c r="AF8" s="18">
        <f>IF(AB8&lt;=N_Hist,INDEX('Прогноз'!$D$25:$AA$36,Sel_Row,AB8),"")</f>
        <v>11919.1942456894</v>
      </c>
      <c r="AG8" s="18" t="str">
        <f>IF(AB8&lt;N_Hist,"",IF(AB8=N_Hist,AE8,INDEX('Прогноз'!$D$7:$O$18,Sel_Row,AB8-N_Hist)))</f>
        <v/>
      </c>
      <c r="AH8" s="18">
        <f>IF(AB8&lt;=N_Hist,INDEX('Данные'!$F$19:$AC$19,AB8),NA())</f>
        <v>1724.1423</v>
      </c>
      <c r="AI8" s="18" t="e">
        <f>IF(AB8&gt;N_Hist,INDEX('Прогноз'!$D$19:$O$19,AB8-N_Hist),NA())</f>
        <v>#N/A</v>
      </c>
    </row>
    <row r="9" ht="18" customHeight="1">
      <c r="A9" s="1" t="n"/>
      <c r="B9" s="25">
        <f>SUM(INDEX('Данные'!$R$7:$AC$18,Sel_Row,0))*INDEX(Prices,Sel_Row)/1000</f>
        <v>1363.1022</v>
      </c>
      <c r="C9" s="26" t="n"/>
      <c r="D9" s="27" t="n"/>
      <c r="E9" s="1" t="n"/>
      <c r="F9" s="28">
        <f>INDEX('Прогноз'!$R$7:$R$18,Sel_Row)</f>
        <v>0.110422298557428</v>
      </c>
      <c r="G9" s="26" t="n"/>
      <c r="H9" s="27" t="n"/>
      <c r="I9" s="1" t="n"/>
      <c r="J9" s="29">
        <f>INDEX('Прогноз'!$T$7:$T$18,Sel_Row)</f>
        <v>0.0309521088866064</v>
      </c>
      <c r="K9" s="26" t="n"/>
      <c r="L9" s="27" t="n"/>
      <c r="M9" s="1" t="n"/>
      <c r="N9" s="30">
        <f>INDEX('Закупки'!$H$7:$H$18,Sel_Row)</f>
        <v>0.95</v>
      </c>
      <c r="O9" s="26" t="n"/>
      <c r="P9" s="27" t="n"/>
      <c r="Q9" s="1" t="n"/>
      <c r="R9" s="31">
        <f>INDEX('Закупки'!$R$7:$R$18,Sel_Row)</f>
        <v>6441</v>
      </c>
      <c r="S9" s="26" t="n"/>
      <c r="T9" s="27" t="n"/>
      <c r="U9" s="1" t="n"/>
      <c r="V9" s="32">
        <f>IF(INDEX('Закупки'!$U$7:$U$18,Sel_Row)&gt;0,INDEX('Закупки'!$V$7:$V$18,Sel_Row),"заказ не требуется")</f>
        <v>59200</v>
      </c>
      <c r="W9" s="26" t="n"/>
      <c r="X9" s="27" t="n"/>
      <c r="Y9" s="1" t="n"/>
      <c r="AB9" s="16" t="n">
        <v>4</v>
      </c>
      <c r="AC9" s="17">
        <f>EDATE('Данные'!$F$6,AB9-1)</f>
        <v>45658.0</v>
      </c>
      <c r="AD9" s="16" t="str">
        <f>IF(MOD(AB9-1,6)=0,INDEX({"янв","фев","мар","апр","май","июн","июл","авг","сен","окт","ноя","дек"},MONTH(AC9))&amp;" "&amp;RIGHT(YEAR(AC9),2),"")</f>
        <v/>
      </c>
      <c r="AE9" s="18">
        <f>IF(AB9&lt;=N_Hist,INDEX(Sales,Sel_Row,AB9),"")</f>
        <v>11100</v>
      </c>
      <c r="AF9" s="18">
        <f>IF(AB9&lt;=N_Hist,INDEX('Прогноз'!$D$25:$AA$36,Sel_Row,AB9),"")</f>
        <v>11005.2416880317</v>
      </c>
      <c r="AG9" s="18" t="str">
        <f>IF(AB9&lt;N_Hist,"",IF(AB9=N_Hist,AE9,INDEX('Прогноз'!$D$7:$O$18,Sel_Row,AB9-N_Hist)))</f>
        <v/>
      </c>
      <c r="AH9" s="18">
        <f>IF(AB9&lt;=N_Hist,INDEX('Данные'!$F$19:$AC$19,AB9),NA())</f>
        <v>1523.9058</v>
      </c>
      <c r="AI9" s="18" t="e">
        <f>IF(AB9&gt;N_Hist,INDEX('Прогноз'!$D$19:$O$19,AB9-N_Hist),NA())</f>
        <v>#N/A</v>
      </c>
    </row>
    <row r="10" ht="6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AB10" s="16" t="n">
        <v>5</v>
      </c>
      <c r="AC10" s="17">
        <f>EDATE('Данные'!$F$6,AB10-1)</f>
        <v>45689.0</v>
      </c>
      <c r="AD10" s="16" t="str">
        <f>IF(MOD(AB10-1,6)=0,INDEX({"янв","фев","мар","апр","май","июн","июл","авг","сен","окт","ноя","дек"},MONTH(AC10))&amp;" "&amp;RIGHT(YEAR(AC10),2),"")</f>
        <v/>
      </c>
      <c r="AE10" s="18">
        <f>IF(AB10&lt;=N_Hist,INDEX(Sales,Sel_Row,AB10),"")</f>
        <v>11432</v>
      </c>
      <c r="AF10" s="18">
        <f>IF(AB10&lt;=N_Hist,INDEX('Прогноз'!$D$25:$AA$36,Sel_Row,AB10),"")</f>
        <v>11456.5838246588</v>
      </c>
      <c r="AG10" s="18" t="str">
        <f>IF(AB10&lt;N_Hist,"",IF(AB10=N_Hist,AE10,INDEX('Прогноз'!$D$7:$O$18,Sel_Row,AB10-N_Hist)))</f>
        <v/>
      </c>
      <c r="AH10" s="18">
        <f>IF(AB10&lt;=N_Hist,INDEX('Данные'!$F$19:$AC$19,AB10),NA())</f>
        <v>1529.9284</v>
      </c>
      <c r="AI10" s="18" t="e">
        <f>IF(AB10&gt;N_Hist,INDEX('Прогноз'!$D$19:$O$19,AB10-N_Hist),NA())</f>
        <v>#N/A</v>
      </c>
    </row>
    <row r="11" ht="14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AB11" s="16" t="n">
        <v>6</v>
      </c>
      <c r="AC11" s="17">
        <f>EDATE('Данные'!$F$6,AB11-1)</f>
        <v>45717.0</v>
      </c>
      <c r="AD11" s="16" t="str">
        <f>IF(MOD(AB11-1,6)=0,INDEX({"янв","фев","мар","апр","май","июн","июл","авг","сен","окт","ноя","дек"},MONTH(AC11))&amp;" "&amp;RIGHT(YEAR(AC11),2),"")</f>
        <v/>
      </c>
      <c r="AE11" s="18">
        <f>IF(AB11&lt;=N_Hist,INDEX(Sales,Sel_Row,AB11),"")</f>
        <v>12721</v>
      </c>
      <c r="AF11" s="18">
        <f>IF(AB11&lt;=N_Hist,INDEX('Прогноз'!$D$25:$AA$36,Sel_Row,AB11),"")</f>
        <v>13379.6541295555</v>
      </c>
      <c r="AG11" s="18" t="str">
        <f>IF(AB11&lt;N_Hist,"",IF(AB11=N_Hist,AE11,INDEX('Прогноз'!$D$7:$O$18,Sel_Row,AB11-N_Hist)))</f>
        <v/>
      </c>
      <c r="AH11" s="18">
        <f>IF(AB11&lt;=N_Hist,INDEX('Данные'!$F$19:$AC$19,AB11),NA())</f>
        <v>1641.834</v>
      </c>
      <c r="AI11" s="18" t="e">
        <f>IF(AB11&gt;N_Hist,INDEX('Прогноз'!$D$19:$O$19,AB11-N_Hist),NA())</f>
        <v>#N/A</v>
      </c>
    </row>
    <row r="12" ht="22" customHeight="1">
      <c r="A12" s="1" t="n"/>
      <c r="B12" s="33" t="str">
        <f>"Спрос по месяцам: факт, модель и прогноз, "&amp;INDEX('Данные'!$D$7:$D$18,Sel_Row)</f>
        <v>Спрос по месяцам: факт, модель и прогноз, шт.</v>
      </c>
      <c r="Q12" s="1" t="n"/>
      <c r="R12" s="34">
        <f>INDEX('ABC-XYZ'!$K$8:$K$19,MATCH(Sel_SKU,'ABC-XYZ'!$B$8:$B$19,0))</f>
        <v>0.180452189713279</v>
      </c>
      <c r="Y12" s="1" t="n"/>
      <c r="AB12" s="16" t="n">
        <v>7</v>
      </c>
      <c r="AC12" s="17">
        <f>EDATE('Данные'!$F$6,AB12-1)</f>
        <v>45748.0</v>
      </c>
      <c r="AD12" s="16" t="str">
        <f>IF(MOD(AB12-1,6)=0,INDEX({"янв","фев","мар","апр","май","июн","июл","авг","сен","окт","ноя","дек"},MONTH(AC12))&amp;" "&amp;RIGHT(YEAR(AC12),2),"")</f>
        <v>апр 25</v>
      </c>
      <c r="AE12" s="18">
        <f>IF(AB12&lt;=N_Hist,INDEX(Sales,Sel_Row,AB12),"")</f>
        <v>13131</v>
      </c>
      <c r="AF12" s="18">
        <f>IF(AB12&lt;=N_Hist,INDEX('Прогноз'!$D$25:$AA$36,Sel_Row,AB12),"")</f>
        <v>13595.4513995951</v>
      </c>
      <c r="AG12" s="18" t="str">
        <f>IF(AB12&lt;N_Hist,"",IF(AB12=N_Hist,AE12,INDEX('Прогноз'!$D$7:$O$18,Sel_Row,AB12-N_Hist)))</f>
        <v/>
      </c>
      <c r="AH12" s="18">
        <f>IF(AB12&lt;=N_Hist,INDEX('Данные'!$F$19:$AC$19,AB12),NA())</f>
        <v>1619.5751</v>
      </c>
      <c r="AI12" s="18" t="e">
        <f>IF(AB12&gt;N_Hist,INDEX('Прогноз'!$D$19:$O$19,AB12-N_Hist),NA())</f>
        <v>#N/A</v>
      </c>
    </row>
    <row r="13" ht="15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AB13" s="16" t="n">
        <v>8</v>
      </c>
      <c r="AC13" s="17">
        <f>EDATE('Данные'!$F$6,AB13-1)</f>
        <v>45778.0</v>
      </c>
      <c r="AD13" s="16" t="str">
        <f>IF(MOD(AB13-1,6)=0,INDEX({"янв","фев","мар","апр","май","июн","июл","авг","сен","окт","ноя","дек"},MONTH(AC13))&amp;" "&amp;RIGHT(YEAR(AC13),2),"")</f>
        <v/>
      </c>
      <c r="AE13" s="18">
        <f>IF(AB13&lt;=N_Hist,INDEX(Sales,Sel_Row,AB13),"")</f>
        <v>15105</v>
      </c>
      <c r="AF13" s="18">
        <f>IF(AB13&lt;=N_Hist,INDEX('Прогноз'!$D$25:$AA$36,Sel_Row,AB13),"")</f>
        <v>14708.5474784461</v>
      </c>
      <c r="AG13" s="18" t="str">
        <f>IF(AB13&lt;N_Hist,"",IF(AB13=N_Hist,AE13,INDEX('Прогноз'!$D$7:$O$18,Sel_Row,AB13-N_Hist)))</f>
        <v/>
      </c>
      <c r="AH13" s="18">
        <f>IF(AB13&lt;=N_Hist,INDEX('Данные'!$F$19:$AC$19,AB13),NA())</f>
        <v>1642.2479</v>
      </c>
      <c r="AI13" s="18" t="e">
        <f>IF(AB13&gt;N_Hist,INDEX('Прогноз'!$D$19:$O$19,AB13-N_Hist),NA())</f>
        <v>#N/A</v>
      </c>
    </row>
    <row r="14" ht="15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AB14" s="16" t="n">
        <v>9</v>
      </c>
      <c r="AC14" s="17">
        <f>EDATE('Данные'!$F$6,AB14-1)</f>
        <v>45809.0</v>
      </c>
      <c r="AD14" s="16" t="str">
        <f>IF(MOD(AB14-1,6)=0,INDEX({"янв","фев","мар","апр","май","июн","июл","авг","сен","окт","ноя","дек"},MONTH(AC14))&amp;" "&amp;RIGHT(YEAR(AC14),2),"")</f>
        <v/>
      </c>
      <c r="AE14" s="18">
        <f>IF(AB14&lt;=N_Hist,INDEX(Sales,Sel_Row,AB14),"")</f>
        <v>16412</v>
      </c>
      <c r="AF14" s="18">
        <f>IF(AB14&lt;=N_Hist,INDEX('Прогноз'!$D$25:$AA$36,Sel_Row,AB14),"")</f>
        <v>17302.5465262085</v>
      </c>
      <c r="AG14" s="18" t="str">
        <f>IF(AB14&lt;N_Hist,"",IF(AB14=N_Hist,AE14,INDEX('Прогноз'!$D$7:$O$18,Sel_Row,AB14-N_Hist)))</f>
        <v/>
      </c>
      <c r="AH14" s="18">
        <f>IF(AB14&lt;=N_Hist,INDEX('Данные'!$F$19:$AC$19,AB14),NA())</f>
        <v>1627.228</v>
      </c>
      <c r="AI14" s="18" t="e">
        <f>IF(AB14&gt;N_Hist,INDEX('Прогноз'!$D$19:$O$19,AB14-N_Hist),NA())</f>
        <v>#N/A</v>
      </c>
    </row>
    <row r="15" ht="15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AB15" s="16" t="n">
        <v>10</v>
      </c>
      <c r="AC15" s="17">
        <f>EDATE('Данные'!$F$6,AB15-1)</f>
        <v>45839.0</v>
      </c>
      <c r="AD15" s="16" t="str">
        <f>IF(MOD(AB15-1,6)=0,INDEX({"янв","фев","мар","апр","май","июн","июл","авг","сен","окт","ноя","дек"},MONTH(AC15))&amp;" "&amp;RIGHT(YEAR(AC15),2),"")</f>
        <v/>
      </c>
      <c r="AE15" s="18">
        <f>IF(AB15&lt;=N_Hist,INDEX(Sales,Sel_Row,AB15),"")</f>
        <v>16529</v>
      </c>
      <c r="AF15" s="18">
        <f>IF(AB15&lt;=N_Hist,INDEX('Прогноз'!$D$25:$AA$36,Sel_Row,AB15),"")</f>
        <v>16335.3499548332</v>
      </c>
      <c r="AG15" s="18" t="str">
        <f>IF(AB15&lt;N_Hist,"",IF(AB15=N_Hist,AE15,INDEX('Прогноз'!$D$7:$O$18,Sel_Row,AB15-N_Hist)))</f>
        <v/>
      </c>
      <c r="AH15" s="18">
        <f>IF(AB15&lt;=N_Hist,INDEX('Данные'!$F$19:$AC$19,AB15),NA())</f>
        <v>1596.6061</v>
      </c>
      <c r="AI15" s="18" t="e">
        <f>IF(AB15&gt;N_Hist,INDEX('Прогноз'!$D$19:$O$19,AB15-N_Hist),NA())</f>
        <v>#N/A</v>
      </c>
    </row>
    <row r="16" ht="15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AB16" s="16" t="n">
        <v>11</v>
      </c>
      <c r="AC16" s="17">
        <f>EDATE('Данные'!$F$6,AB16-1)</f>
        <v>45870.0</v>
      </c>
      <c r="AD16" s="16" t="str">
        <f>IF(MOD(AB16-1,6)=0,INDEX({"янв","фев","мар","апр","май","июн","июл","авг","сен","окт","ноя","дек"},MONTH(AC16))&amp;" "&amp;RIGHT(YEAR(AC16),2),"")</f>
        <v/>
      </c>
      <c r="AE16" s="18">
        <f>IF(AB16&lt;=N_Hist,INDEX(Sales,Sel_Row,AB16),"")</f>
        <v>17117</v>
      </c>
      <c r="AF16" s="18">
        <f>IF(AB16&lt;=N_Hist,INDEX('Прогноз'!$D$25:$AA$36,Sel_Row,AB16),"")</f>
        <v>16925.8094270837</v>
      </c>
      <c r="AG16" s="18" t="str">
        <f>IF(AB16&lt;N_Hist,"",IF(AB16=N_Hist,AE16,INDEX('Прогноз'!$D$7:$O$18,Sel_Row,AB16-N_Hist)))</f>
        <v/>
      </c>
      <c r="AH16" s="18">
        <f>IF(AB16&lt;=N_Hist,INDEX('Данные'!$F$19:$AC$19,AB16),NA())</f>
        <v>1655.0341</v>
      </c>
      <c r="AI16" s="18" t="e">
        <f>IF(AB16&gt;N_Hist,INDEX('Прогноз'!$D$19:$O$19,AB16-N_Hist),NA())</f>
        <v>#N/A</v>
      </c>
    </row>
    <row r="17" ht="15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AB17" s="16" t="n">
        <v>12</v>
      </c>
      <c r="AC17" s="17">
        <f>EDATE('Данные'!$F$6,AB17-1)</f>
        <v>45901.0</v>
      </c>
      <c r="AD17" s="16" t="str">
        <f>IF(MOD(AB17-1,6)=0,INDEX({"янв","фев","мар","апр","май","июн","июл","авг","сен","окт","ноя","дек"},MONTH(AC17))&amp;" "&amp;RIGHT(YEAR(AC17),2),"")</f>
        <v/>
      </c>
      <c r="AE17" s="18">
        <f>IF(AB17&lt;=N_Hist,INDEX(Sales,Sel_Row,AB17),"")</f>
        <v>13727</v>
      </c>
      <c r="AF17" s="18">
        <f>IF(AB17&lt;=N_Hist,INDEX('Прогноз'!$D$25:$AA$36,Sel_Row,AB17),"")</f>
        <v>14287.8394822679</v>
      </c>
      <c r="AG17" s="18" t="str">
        <f>IF(AB17&lt;N_Hist,"",IF(AB17=N_Hist,AE17,INDEX('Прогноз'!$D$7:$O$18,Sel_Row,AB17-N_Hist)))</f>
        <v/>
      </c>
      <c r="AH17" s="18">
        <f>IF(AB17&lt;=N_Hist,INDEX('Данные'!$F$19:$AC$19,AB17),NA())</f>
        <v>1762.6766</v>
      </c>
      <c r="AI17" s="18" t="e">
        <f>IF(AB17&gt;N_Hist,INDEX('Прогноз'!$D$19:$O$19,AB17-N_Hist),NA())</f>
        <v>#N/A</v>
      </c>
    </row>
    <row r="18" ht="15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AB18" s="16" t="n">
        <v>13</v>
      </c>
      <c r="AC18" s="17">
        <f>EDATE('Данные'!$F$6,AB18-1)</f>
        <v>45931.0</v>
      </c>
      <c r="AD18" s="16" t="str">
        <f>IF(MOD(AB18-1,6)=0,INDEX({"янв","фев","мар","апр","май","июн","июл","авг","сен","окт","ноя","дек"},MONTH(AC18))&amp;" "&amp;RIGHT(YEAR(AC18),2),"")</f>
        <v>окт 25</v>
      </c>
      <c r="AE18" s="18">
        <f>IF(AB18&lt;=N_Hist,INDEX(Sales,Sel_Row,AB18),"")</f>
        <v>13066</v>
      </c>
      <c r="AF18" s="18">
        <f>IF(AB18&lt;=N_Hist,INDEX('Прогноз'!$D$25:$AA$36,Sel_Row,AB18),"")</f>
        <v>13128.5140690265</v>
      </c>
      <c r="AG18" s="18" t="str">
        <f>IF(AB18&lt;N_Hist,"",IF(AB18=N_Hist,AE18,INDEX('Прогноз'!$D$7:$O$18,Sel_Row,AB18-N_Hist)))</f>
        <v/>
      </c>
      <c r="AH18" s="18">
        <f>IF(AB18&lt;=N_Hist,INDEX('Данные'!$F$19:$AC$19,AB18),NA())</f>
        <v>1805.1704</v>
      </c>
      <c r="AI18" s="18" t="e">
        <f>IF(AB18&gt;N_Hist,INDEX('Прогноз'!$D$19:$O$19,AB18-N_Hist),NA())</f>
        <v>#N/A</v>
      </c>
    </row>
    <row r="19" ht="15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AB19" s="16" t="n">
        <v>14</v>
      </c>
      <c r="AC19" s="17">
        <f>EDATE('Данные'!$F$6,AB19-1)</f>
        <v>45962.0</v>
      </c>
      <c r="AD19" s="16" t="str">
        <f>IF(MOD(AB19-1,6)=0,INDEX({"янв","фев","мар","апр","май","июн","июл","авг","сен","окт","ноя","дек"},MONTH(AC19))&amp;" "&amp;RIGHT(YEAR(AC19),2),"")</f>
        <v/>
      </c>
      <c r="AE19" s="18">
        <f>IF(AB19&lt;=N_Hist,INDEX(Sales,Sel_Row,AB19),"")</f>
        <v>11112</v>
      </c>
      <c r="AF19" s="18">
        <f>IF(AB19&lt;=N_Hist,INDEX('Прогноз'!$D$25:$AA$36,Sel_Row,AB19),"")</f>
        <v>12352.5808347565</v>
      </c>
      <c r="AG19" s="18" t="str">
        <f>IF(AB19&lt;N_Hist,"",IF(AB19=N_Hist,AE19,INDEX('Прогноз'!$D$7:$O$18,Sel_Row,AB19-N_Hist)))</f>
        <v/>
      </c>
      <c r="AH19" s="18">
        <f>IF(AB19&lt;=N_Hist,INDEX('Данные'!$F$19:$AC$19,AB19),NA())</f>
        <v>1809.762</v>
      </c>
      <c r="AI19" s="18" t="e">
        <f>IF(AB19&gt;N_Hist,INDEX('Прогноз'!$D$19:$O$19,AB19-N_Hist),NA())</f>
        <v>#N/A</v>
      </c>
    </row>
    <row r="20" ht="15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AB20" s="16" t="n">
        <v>15</v>
      </c>
      <c r="AC20" s="17">
        <f>EDATE('Данные'!$F$6,AB20-1)</f>
        <v>45992.0</v>
      </c>
      <c r="AD20" s="16" t="str">
        <f>IF(MOD(AB20-1,6)=0,INDEX({"янв","фев","мар","апр","май","июн","июл","авг","сен","окт","ноя","дек"},MONTH(AC20))&amp;" "&amp;RIGHT(YEAR(AC20),2),"")</f>
        <v/>
      </c>
      <c r="AE20" s="18">
        <f>IF(AB20&lt;=N_Hist,INDEX(Sales,Sel_Row,AB20),"")</f>
        <v>12971</v>
      </c>
      <c r="AF20" s="18">
        <f>IF(AB20&lt;=N_Hist,INDEX('Прогноз'!$D$25:$AA$36,Sel_Row,AB20),"")</f>
        <v>13483.1625521662</v>
      </c>
      <c r="AG20" s="18" t="str">
        <f>IF(AB20&lt;N_Hist,"",IF(AB20=N_Hist,AE20,INDEX('Прогноз'!$D$7:$O$18,Sel_Row,AB20-N_Hist)))</f>
        <v/>
      </c>
      <c r="AH20" s="18">
        <f>IF(AB20&lt;=N_Hist,INDEX('Данные'!$F$19:$AC$19,AB20),NA())</f>
        <v>1878.6184</v>
      </c>
      <c r="AI20" s="18" t="e">
        <f>IF(AB20&gt;N_Hist,INDEX('Прогноз'!$D$19:$O$19,AB20-N_Hist),NA())</f>
        <v>#N/A</v>
      </c>
    </row>
    <row r="21" ht="15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AB21" s="16" t="n">
        <v>16</v>
      </c>
      <c r="AC21" s="17">
        <f>EDATE('Данные'!$F$6,AB21-1)</f>
        <v>46023.0</v>
      </c>
      <c r="AD21" s="16" t="str">
        <f>IF(MOD(AB21-1,6)=0,INDEX({"янв","фев","мар","апр","май","июн","июл","авг","сен","окт","ноя","дек"},MONTH(AC21))&amp;" "&amp;RIGHT(YEAR(AC21),2),"")</f>
        <v/>
      </c>
      <c r="AE21" s="18">
        <f>IF(AB21&lt;=N_Hist,INDEX(Sales,Sel_Row,AB21),"")</f>
        <v>12319</v>
      </c>
      <c r="AF21" s="18">
        <f>IF(AB21&lt;=N_Hist,INDEX('Прогноз'!$D$25:$AA$36,Sel_Row,AB21),"")</f>
        <v>12433.6672312718</v>
      </c>
      <c r="AG21" s="18" t="str">
        <f>IF(AB21&lt;N_Hist,"",IF(AB21=N_Hist,AE21,INDEX('Прогноз'!$D$7:$O$18,Sel_Row,AB21-N_Hist)))</f>
        <v/>
      </c>
      <c r="AH21" s="18">
        <f>IF(AB21&lt;=N_Hist,INDEX('Данные'!$F$19:$AC$19,AB21),NA())</f>
        <v>1633.1511</v>
      </c>
      <c r="AI21" s="18" t="e">
        <f>IF(AB21&gt;N_Hist,INDEX('Прогноз'!$D$19:$O$19,AB21-N_Hist),NA())</f>
        <v>#N/A</v>
      </c>
    </row>
    <row r="22" ht="15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AB22" s="16" t="n">
        <v>17</v>
      </c>
      <c r="AC22" s="17">
        <f>EDATE('Данные'!$F$6,AB22-1)</f>
        <v>46054.0</v>
      </c>
      <c r="AD22" s="16" t="str">
        <f>IF(MOD(AB22-1,6)=0,INDEX({"янв","фев","мар","апр","май","июн","июл","авг","сен","окт","ноя","дек"},MONTH(AC22))&amp;" "&amp;RIGHT(YEAR(AC22),2),"")</f>
        <v/>
      </c>
      <c r="AE22" s="18">
        <f>IF(AB22&lt;=N_Hist,INDEX(Sales,Sel_Row,AB22),"")</f>
        <v>12952</v>
      </c>
      <c r="AF22" s="18">
        <f>IF(AB22&lt;=N_Hist,INDEX('Прогноз'!$D$25:$AA$36,Sel_Row,AB22),"")</f>
        <v>12927.6795869089</v>
      </c>
      <c r="AG22" s="18" t="str">
        <f>IF(AB22&lt;N_Hist,"",IF(AB22=N_Hist,AE22,INDEX('Прогноз'!$D$7:$O$18,Sel_Row,AB22-N_Hist)))</f>
        <v/>
      </c>
      <c r="AH22" s="18">
        <f>IF(AB22&lt;=N_Hist,INDEX('Данные'!$F$19:$AC$19,AB22),NA())</f>
        <v>1702.7734</v>
      </c>
      <c r="AI22" s="18" t="e">
        <f>IF(AB22&gt;N_Hist,INDEX('Прогноз'!$D$19:$O$19,AB22-N_Hist),NA())</f>
        <v>#N/A</v>
      </c>
    </row>
    <row r="23" ht="15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AB23" s="16" t="n">
        <v>18</v>
      </c>
      <c r="AC23" s="17">
        <f>EDATE('Данные'!$F$6,AB23-1)</f>
        <v>46082.0</v>
      </c>
      <c r="AD23" s="16" t="str">
        <f>IF(MOD(AB23-1,6)=0,INDEX({"янв","фев","мар","апр","май","июн","июл","авг","сен","окт","ноя","дек"},MONTH(AC23))&amp;" "&amp;RIGHT(YEAR(AC23),2),"")</f>
        <v/>
      </c>
      <c r="AE23" s="18">
        <f>IF(AB23&lt;=N_Hist,INDEX(Sales,Sel_Row,AB23),"")</f>
        <v>15824</v>
      </c>
      <c r="AF23" s="18">
        <f>IF(AB23&lt;=N_Hist,INDEX('Прогноз'!$D$25:$AA$36,Sel_Row,AB23),"")</f>
        <v>15079.4947706614</v>
      </c>
      <c r="AG23" s="18" t="str">
        <f>IF(AB23&lt;N_Hist,"",IF(AB23=N_Hist,AE23,INDEX('Прогноз'!$D$7:$O$18,Sel_Row,AB23-N_Hist)))</f>
        <v/>
      </c>
      <c r="AH23" s="18">
        <f>IF(AB23&lt;=N_Hist,INDEX('Данные'!$F$19:$AC$19,AB23),NA())</f>
        <v>1839.5814</v>
      </c>
      <c r="AI23" s="18" t="e">
        <f>IF(AB23&gt;N_Hist,INDEX('Прогноз'!$D$19:$O$19,AB23-N_Hist),NA())</f>
        <v>#N/A</v>
      </c>
    </row>
    <row r="24" ht="15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AB24" s="16" t="n">
        <v>19</v>
      </c>
      <c r="AC24" s="17">
        <f>EDATE('Данные'!$F$6,AB24-1)</f>
        <v>46113.0</v>
      </c>
      <c r="AD24" s="16" t="str">
        <f>IF(MOD(AB24-1,6)=0,INDEX({"янв","фев","мар","апр","май","июн","июл","авг","сен","окт","ноя","дек"},MONTH(AC24))&amp;" "&amp;RIGHT(YEAR(AC24),2),"")</f>
        <v>апр 26</v>
      </c>
      <c r="AE24" s="18">
        <f>IF(AB24&lt;=N_Hist,INDEX(Sales,Sel_Row,AB24),"")</f>
        <v>15834</v>
      </c>
      <c r="AF24" s="18">
        <f>IF(AB24&lt;=N_Hist,INDEX('Прогноз'!$D$25:$AA$36,Sel_Row,AB24),"")</f>
        <v>15304.6130908981</v>
      </c>
      <c r="AG24" s="18" t="str">
        <f>IF(AB24&lt;N_Hist,"",IF(AB24=N_Hist,AE24,INDEX('Прогноз'!$D$7:$O$18,Sel_Row,AB24-N_Hist)))</f>
        <v/>
      </c>
      <c r="AH24" s="18">
        <f>IF(AB24&lt;=N_Hist,INDEX('Данные'!$F$19:$AC$19,AB24),NA())</f>
        <v>1783.5634</v>
      </c>
      <c r="AI24" s="18" t="e">
        <f>IF(AB24&gt;N_Hist,INDEX('Прогноз'!$D$19:$O$19,AB24-N_Hist),NA())</f>
        <v>#N/A</v>
      </c>
    </row>
    <row r="25" ht="15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AB25" s="16" t="n">
        <v>20</v>
      </c>
      <c r="AC25" s="17">
        <f>EDATE('Данные'!$F$6,AB25-1)</f>
        <v>46143.0</v>
      </c>
      <c r="AD25" s="16" t="str">
        <f>IF(MOD(AB25-1,6)=0,INDEX({"янв","фев","мар","апр","май","июн","июл","авг","сен","окт","ноя","дек"},MONTH(AC25))&amp;" "&amp;RIGHT(YEAR(AC25),2),"")</f>
        <v/>
      </c>
      <c r="AE25" s="18">
        <f>IF(AB25&lt;=N_Hist,INDEX(Sales,Sel_Row,AB25),"")</f>
        <v>16103</v>
      </c>
      <c r="AF25" s="18">
        <f>IF(AB25&lt;=N_Hist,INDEX('Прогноз'!$D$25:$AA$36,Sel_Row,AB25),"")</f>
        <v>16538.4719694014</v>
      </c>
      <c r="AG25" s="18" t="str">
        <f>IF(AB25&lt;N_Hist,"",IF(AB25=N_Hist,AE25,INDEX('Прогноз'!$D$7:$O$18,Sel_Row,AB25-N_Hist)))</f>
        <v/>
      </c>
      <c r="AH25" s="18">
        <f>IF(AB25&lt;=N_Hist,INDEX('Данные'!$F$19:$AC$19,AB25),NA())</f>
        <v>1754.931</v>
      </c>
      <c r="AI25" s="18" t="e">
        <f>IF(AB25&gt;N_Hist,INDEX('Прогноз'!$D$19:$O$19,AB25-N_Hist),NA())</f>
        <v>#N/A</v>
      </c>
    </row>
    <row r="26" ht="15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AB26" s="16" t="n">
        <v>21</v>
      </c>
      <c r="AC26" s="17">
        <f>EDATE('Данные'!$F$6,AB26-1)</f>
        <v>46174.0</v>
      </c>
      <c r="AD26" s="16" t="str">
        <f>IF(MOD(AB26-1,6)=0,INDEX({"янв","фев","мар","апр","май","июн","июл","авг","сен","окт","ноя","дек"},MONTH(AC26))&amp;" "&amp;RIGHT(YEAR(AC26),2),"")</f>
        <v/>
      </c>
      <c r="AE26" s="18">
        <f>IF(AB26&lt;=N_Hist,INDEX(Sales,Sel_Row,AB26),"")</f>
        <v>20454</v>
      </c>
      <c r="AF26" s="18">
        <f>IF(AB26&lt;=N_Hist,INDEX('Прогноз'!$D$25:$AA$36,Sel_Row,AB26),"")</f>
        <v>19433.1074504307</v>
      </c>
      <c r="AG26" s="18" t="str">
        <f>IF(AB26&lt;N_Hist,"",IF(AB26=N_Hist,AE26,INDEX('Прогноз'!$D$7:$O$18,Sel_Row,AB26-N_Hist)))</f>
        <v/>
      </c>
      <c r="AH26" s="18">
        <f>IF(AB26&lt;=N_Hist,INDEX('Данные'!$F$19:$AC$19,AB26),NA())</f>
        <v>1749.9157</v>
      </c>
      <c r="AI26" s="18" t="e">
        <f>IF(AB26&gt;N_Hist,INDEX('Прогноз'!$D$19:$O$19,AB26-N_Hist),NA())</f>
        <v>#N/A</v>
      </c>
    </row>
    <row r="27" ht="15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AB27" s="16" t="n">
        <v>22</v>
      </c>
      <c r="AC27" s="17">
        <f>EDATE('Данные'!$F$6,AB27-1)</f>
        <v>46204.0</v>
      </c>
      <c r="AD27" s="16" t="str">
        <f>IF(MOD(AB27-1,6)=0,INDEX({"янв","фев","мар","апр","май","июн","июл","авг","сен","окт","ноя","дек"},MONTH(AC27))&amp;" "&amp;RIGHT(YEAR(AC27),2),"")</f>
        <v/>
      </c>
      <c r="AE27" s="18">
        <f>IF(AB27&lt;=N_Hist,INDEX(Sales,Sel_Row,AB27),"")</f>
        <v>18132</v>
      </c>
      <c r="AF27" s="18">
        <f>IF(AB27&lt;=N_Hist,INDEX('Прогноз'!$D$25:$AA$36,Sel_Row,AB27),"")</f>
        <v>18326.383856077</v>
      </c>
      <c r="AG27" s="18" t="str">
        <f>IF(AB27&lt;N_Hist,"",IF(AB27=N_Hist,AE27,INDEX('Прогноз'!$D$7:$O$18,Sel_Row,AB27-N_Hist)))</f>
        <v/>
      </c>
      <c r="AH27" s="18">
        <f>IF(AB27&lt;=N_Hist,INDEX('Данные'!$F$19:$AC$19,AB27),NA())</f>
        <v>1742.4163</v>
      </c>
      <c r="AI27" s="18" t="e">
        <f>IF(AB27&gt;N_Hist,INDEX('Прогноз'!$D$19:$O$19,AB27-N_Hist),NA())</f>
        <v>#N/A</v>
      </c>
    </row>
    <row r="28" ht="15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AB28" s="16" t="n">
        <v>23</v>
      </c>
      <c r="AC28" s="17">
        <f>EDATE('Данные'!$F$6,AB28-1)</f>
        <v>46235.0</v>
      </c>
      <c r="AD28" s="16" t="str">
        <f>IF(MOD(AB28-1,6)=0,INDEX({"янв","фев","мар","апр","май","июн","июл","авг","сен","окт","ноя","дек"},MONTH(AC28))&amp;" "&amp;RIGHT(YEAR(AC28),2),"")</f>
        <v/>
      </c>
      <c r="AE28" s="18">
        <f>IF(AB28&lt;=N_Hist,INDEX(Sales,Sel_Row,AB28),"")</f>
        <v>18783</v>
      </c>
      <c r="AF28" s="18">
        <f>IF(AB28&lt;=N_Hist,INDEX('Прогноз'!$D$25:$AA$36,Sel_Row,AB28),"")</f>
        <v>18968.0680838716</v>
      </c>
      <c r="AG28" s="18" t="str">
        <f>IF(AB28&lt;N_Hist,"",IF(AB28=N_Hist,AE28,INDEX('Прогноз'!$D$7:$O$18,Sel_Row,AB28-N_Hist)))</f>
        <v/>
      </c>
      <c r="AH28" s="18">
        <f>IF(AB28&lt;=N_Hist,INDEX('Данные'!$F$19:$AC$19,AB28),NA())</f>
        <v>1782.5344</v>
      </c>
      <c r="AI28" s="18" t="e">
        <f>IF(AB28&gt;N_Hist,INDEX('Прогноз'!$D$19:$O$19,AB28-N_Hist),NA())</f>
        <v>#N/A</v>
      </c>
    </row>
    <row r="29" ht="12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AB29" s="16" t="n">
        <v>24</v>
      </c>
      <c r="AC29" s="17">
        <f>EDATE('Данные'!$F$6,AB29-1)</f>
        <v>46266.0</v>
      </c>
      <c r="AD29" s="16" t="str">
        <f>IF(MOD(AB29-1,6)=0,INDEX({"янв","фев","мар","апр","май","июн","июл","авг","сен","окт","ноя","дек"},MONTH(AC29))&amp;" "&amp;RIGHT(YEAR(AC29),2),"")</f>
        <v/>
      </c>
      <c r="AE29" s="18">
        <f>IF(AB29&lt;=N_Hist,INDEX(Sales,Sel_Row,AB29),"")</f>
        <v>16653</v>
      </c>
      <c r="AF29" s="18">
        <f>IF(AB29&lt;=N_Hist,INDEX('Прогноз'!$D$25:$AA$36,Sel_Row,AB29),"")</f>
        <v>15994.6403645227</v>
      </c>
      <c r="AG29" s="18">
        <f>IF(AB29&lt;N_Hist,"",IF(AB29=N_Hist,AE29,INDEX('Прогноз'!$D$7:$O$18,Sel_Row,AB29-N_Hist)))</f>
        <v>16653</v>
      </c>
      <c r="AH29" s="18">
        <f>IF(AB29&lt;=N_Hist,INDEX('Данные'!$F$19:$AC$19,AB29),NA())</f>
        <v>1940.1856</v>
      </c>
      <c r="AI29" s="18" t="e">
        <f>IF(AB29&gt;N_Hist,INDEX('Прогноз'!$D$19:$O$19,AB29-N_Hist),NA())</f>
        <v>#N/A</v>
      </c>
    </row>
    <row r="30" ht="22" customHeight="1">
      <c r="A30" s="1" t="n"/>
      <c r="B30" s="33" t="inlineStr">
        <is>
          <t>ABC-анализ: доля SKU в стоимости закупок за 12 мес.</t>
        </is>
      </c>
      <c r="M30" s="1" t="n"/>
      <c r="N30" s="33" t="inlineStr">
        <is>
          <t>Закупки по сети, тыс. ₽ в месяц: факт и прогноз</t>
        </is>
      </c>
      <c r="Y30" s="1" t="n"/>
      <c r="AB30" s="16" t="n">
        <v>25</v>
      </c>
      <c r="AC30" s="17">
        <f>EDATE('Данные'!$F$6,AB30-1)</f>
        <v>46296.0</v>
      </c>
      <c r="AD30" s="16" t="str">
        <f>IF(MOD(AB30-1,6)=0,INDEX({"янв","фев","мар","апр","май","июн","июл","авг","сен","окт","ноя","дек"},MONTH(AC30))&amp;" "&amp;RIGHT(YEAR(AC30),2),"")</f>
        <v>окт 26</v>
      </c>
      <c r="AE30" s="18" t="str">
        <f>IF(AB30&lt;=N_Hist,INDEX(Sales,Sel_Row,AB30),"")</f>
        <v/>
      </c>
      <c r="AF30" s="18" t="str">
        <f>IF(AB30&lt;=N_Hist,INDEX('Прогноз'!$D$25:$AA$36,Sel_Row,AB30),"")</f>
        <v/>
      </c>
      <c r="AG30" s="18">
        <f>IF(AB30&lt;N_Hist,"",IF(AB30=N_Hist,AE30,INDEX('Прогноз'!$D$7:$O$18,Sel_Row,AB30-N_Hist)))</f>
        <v>14681.3655042123</v>
      </c>
      <c r="AH30" s="18" t="e">
        <f>IF(AB30&lt;=N_Hist,INDEX('Данные'!$F$19:$AC$19,AB30),NA())</f>
        <v>#N/A</v>
      </c>
      <c r="AI30" s="18">
        <f>IF(AB30&gt;N_Hist,INDEX('Прогноз'!$D$19:$O$19,AB30-N_Hist),NA())</f>
        <v>1977.43132973831</v>
      </c>
    </row>
    <row r="31" ht="15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AB31" s="16" t="n">
        <v>26</v>
      </c>
      <c r="AC31" s="17">
        <f>EDATE('Данные'!$F$6,AB31-1)</f>
        <v>46327.0</v>
      </c>
      <c r="AD31" s="16" t="str">
        <f>IF(MOD(AB31-1,6)=0,INDEX({"янв","фев","мар","апр","май","июн","июл","авг","сен","окт","ноя","дек"},MONTH(AC31))&amp;" "&amp;RIGHT(YEAR(AC31),2),"")</f>
        <v/>
      </c>
      <c r="AE31" s="18" t="str">
        <f>IF(AB31&lt;=N_Hist,INDEX(Sales,Sel_Row,AB31),"")</f>
        <v/>
      </c>
      <c r="AF31" s="18" t="str">
        <f>IF(AB31&lt;=N_Hist,INDEX('Прогноз'!$D$25:$AA$36,Sel_Row,AB31),"")</f>
        <v/>
      </c>
      <c r="AG31" s="18">
        <f>IF(AB31&lt;N_Hist,"",IF(AB31=N_Hist,AE31,INDEX('Прогноз'!$D$7:$O$18,Sel_Row,AB31-N_Hist)))</f>
        <v>13799.3934009121</v>
      </c>
      <c r="AH31" s="18" t="e">
        <f>IF(AB31&lt;=N_Hist,INDEX('Данные'!$F$19:$AC$19,AB31),NA())</f>
        <v>#N/A</v>
      </c>
      <c r="AI31" s="18">
        <f>IF(AB31&gt;N_Hist,INDEX('Прогноз'!$D$19:$O$19,AB31-N_Hist),NA())</f>
        <v>1993.17854529657</v>
      </c>
    </row>
    <row r="32" ht="15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AB32" s="16" t="n">
        <v>27</v>
      </c>
      <c r="AC32" s="17">
        <f>EDATE('Данные'!$F$6,AB32-1)</f>
        <v>46357.0</v>
      </c>
      <c r="AD32" s="16" t="str">
        <f>IF(MOD(AB32-1,6)=0,INDEX({"янв","фев","мар","апр","май","июн","июл","авг","сен","окт","ноя","дек"},MONTH(AC32))&amp;" "&amp;RIGHT(YEAR(AC32),2),"")</f>
        <v/>
      </c>
      <c r="AE32" s="18" t="str">
        <f>IF(AB32&lt;=N_Hist,INDEX(Sales,Sel_Row,AB32),"")</f>
        <v/>
      </c>
      <c r="AF32" s="18" t="str">
        <f>IF(AB32&lt;=N_Hist,INDEX('Прогноз'!$D$25:$AA$36,Sel_Row,AB32),"")</f>
        <v/>
      </c>
      <c r="AG32" s="18">
        <f>IF(AB32&lt;N_Hist,"",IF(AB32=N_Hist,AE32,INDEX('Прогноз'!$D$7:$O$18,Sel_Row,AB32-N_Hist)))</f>
        <v>15047.130858643</v>
      </c>
      <c r="AH32" s="18" t="e">
        <f>IF(AB32&lt;=N_Hist,INDEX('Данные'!$F$19:$AC$19,AB32),NA())</f>
        <v>#N/A</v>
      </c>
      <c r="AI32" s="18">
        <f>IF(AB32&gt;N_Hist,INDEX('Прогноз'!$D$19:$O$19,AB32-N_Hist),NA())</f>
        <v>2018.22191928379</v>
      </c>
    </row>
    <row r="33" ht="15" customHeight="1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AB33" s="16" t="n">
        <v>28</v>
      </c>
      <c r="AC33" s="17">
        <f>EDATE('Данные'!$F$6,AB33-1)</f>
        <v>46388.0</v>
      </c>
      <c r="AD33" s="16" t="str">
        <f>IF(MOD(AB33-1,6)=0,INDEX({"янв","фев","мар","апр","май","июн","июл","авг","сен","окт","ноя","дек"},MONTH(AC33))&amp;" "&amp;RIGHT(YEAR(AC33),2),"")</f>
        <v/>
      </c>
      <c r="AE33" s="18" t="str">
        <f>IF(AB33&lt;=N_Hist,INDEX(Sales,Sel_Row,AB33),"")</f>
        <v/>
      </c>
      <c r="AF33" s="18" t="str">
        <f>IF(AB33&lt;=N_Hist,INDEX('Прогноз'!$D$25:$AA$36,Sel_Row,AB33),"")</f>
        <v/>
      </c>
      <c r="AG33" s="18">
        <f>IF(AB33&lt;N_Hist,"",IF(AB33=N_Hist,AE33,INDEX('Прогноз'!$D$7:$O$18,Sel_Row,AB33-N_Hist)))</f>
        <v>13862.0927745119</v>
      </c>
      <c r="AH33" s="18" t="e">
        <f>IF(AB33&lt;=N_Hist,INDEX('Данные'!$F$19:$AC$19,AB33),NA())</f>
        <v>#N/A</v>
      </c>
      <c r="AI33" s="18">
        <f>IF(AB33&gt;N_Hist,INDEX('Прогноз'!$D$19:$O$19,AB33-N_Hist),NA())</f>
        <v>1774.5917506906</v>
      </c>
    </row>
    <row r="34" ht="15" customHeight="1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AB34" s="16" t="n">
        <v>29</v>
      </c>
      <c r="AC34" s="17">
        <f>EDATE('Данные'!$F$6,AB34-1)</f>
        <v>46419.0</v>
      </c>
      <c r="AD34" s="16" t="str">
        <f>IF(MOD(AB34-1,6)=0,INDEX({"янв","фев","мар","апр","май","июн","июл","авг","сен","окт","ноя","дек"},MONTH(AC34))&amp;" "&amp;RIGHT(YEAR(AC34),2),"")</f>
        <v/>
      </c>
      <c r="AE34" s="18" t="str">
        <f>IF(AB34&lt;=N_Hist,INDEX(Sales,Sel_Row,AB34),"")</f>
        <v/>
      </c>
      <c r="AF34" s="18" t="str">
        <f>IF(AB34&lt;=N_Hist,INDEX('Прогноз'!$D$25:$AA$36,Sel_Row,AB34),"")</f>
        <v/>
      </c>
      <c r="AG34" s="18">
        <f>IF(AB34&lt;N_Hist,"",IF(AB34=N_Hist,AE34,INDEX('Прогноз'!$D$7:$O$18,Sel_Row,AB34-N_Hist)))</f>
        <v>14398.7753491589</v>
      </c>
      <c r="AH34" s="18" t="e">
        <f>IF(AB34&lt;=N_Hist,INDEX('Данные'!$F$19:$AC$19,AB34),NA())</f>
        <v>#N/A</v>
      </c>
      <c r="AI34" s="18">
        <f>IF(AB34&gt;N_Hist,INDEX('Прогноз'!$D$19:$O$19,AB34-N_Hist),NA())</f>
        <v>1810.12795019287</v>
      </c>
    </row>
    <row r="35" ht="1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AB35" s="16" t="n">
        <v>30</v>
      </c>
      <c r="AC35" s="17">
        <f>EDATE('Данные'!$F$6,AB35-1)</f>
        <v>46447.0</v>
      </c>
      <c r="AD35" s="16" t="str">
        <f>IF(MOD(AB35-1,6)=0,INDEX({"янв","фев","мар","апр","май","июн","июл","авг","сен","окт","ноя","дек"},MONTH(AC35))&amp;" "&amp;RIGHT(YEAR(AC35),2),"")</f>
        <v/>
      </c>
      <c r="AE35" s="18" t="str">
        <f>IF(AB35&lt;=N_Hist,INDEX(Sales,Sel_Row,AB35),"")</f>
        <v/>
      </c>
      <c r="AF35" s="18" t="str">
        <f>IF(AB35&lt;=N_Hist,INDEX('Прогноз'!$D$25:$AA$36,Sel_Row,AB35),"")</f>
        <v/>
      </c>
      <c r="AG35" s="18">
        <f>IF(AB35&lt;N_Hist,"",IF(AB35=N_Hist,AE35,INDEX('Прогноз'!$D$7:$O$18,Sel_Row,AB35-N_Hist)))</f>
        <v>16779.3354117673</v>
      </c>
      <c r="AH35" s="18" t="e">
        <f>IF(AB35&lt;=N_Hist,INDEX('Данные'!$F$19:$AC$19,AB35),NA())</f>
        <v>#N/A</v>
      </c>
      <c r="AI35" s="18">
        <f>IF(AB35&gt;N_Hist,INDEX('Прогноз'!$D$19:$O$19,AB35-N_Hist),NA())</f>
        <v>1943.92106950997</v>
      </c>
    </row>
    <row r="36" ht="15" customHeight="1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AB36" s="16" t="n">
        <v>31</v>
      </c>
      <c r="AC36" s="17">
        <f>EDATE('Данные'!$F$6,AB36-1)</f>
        <v>46478.0</v>
      </c>
      <c r="AD36" s="16" t="str">
        <f>IF(MOD(AB36-1,6)=0,INDEX({"янв","фев","мар","апр","май","июн","июл","авг","сен","окт","ноя","дек"},MONTH(AC36))&amp;" "&amp;RIGHT(YEAR(AC36),2),"")</f>
        <v>апр 27</v>
      </c>
      <c r="AE36" s="18" t="str">
        <f>IF(AB36&lt;=N_Hist,INDEX(Sales,Sel_Row,AB36),"")</f>
        <v/>
      </c>
      <c r="AF36" s="18" t="str">
        <f>IF(AB36&lt;=N_Hist,INDEX('Прогноз'!$D$25:$AA$36,Sel_Row,AB36),"")</f>
        <v/>
      </c>
      <c r="AG36" s="18">
        <f>IF(AB36&lt;N_Hist,"",IF(AB36=N_Hist,AE36,INDEX('Прогноз'!$D$7:$O$18,Sel_Row,AB36-N_Hist)))</f>
        <v>17013.7747822011</v>
      </c>
      <c r="AH36" s="18" t="e">
        <f>IF(AB36&lt;=N_Hist,INDEX('Данные'!$F$19:$AC$19,AB36),NA())</f>
        <v>#N/A</v>
      </c>
      <c r="AI36" s="18">
        <f>IF(AB36&gt;N_Hist,INDEX('Прогноз'!$D$19:$O$19,AB36-N_Hist),NA())</f>
        <v>1903.45624048821</v>
      </c>
    </row>
    <row r="37" ht="1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AB37" s="16" t="n">
        <v>32</v>
      </c>
      <c r="AC37" s="17">
        <f>EDATE('Данные'!$F$6,AB37-1)</f>
        <v>46508.0</v>
      </c>
      <c r="AD37" s="16" t="str">
        <f>IF(MOD(AB37-1,6)=0,INDEX({"янв","фев","мар","апр","май","июн","июл","авг","сен","окт","ноя","дек"},MONTH(AC37))&amp;" "&amp;RIGHT(YEAR(AC37),2),"")</f>
        <v/>
      </c>
      <c r="AE37" s="18" t="str">
        <f>IF(AB37&lt;=N_Hist,INDEX(Sales,Sel_Row,AB37),"")</f>
        <v/>
      </c>
      <c r="AF37" s="18" t="str">
        <f>IF(AB37&lt;=N_Hist,INDEX('Прогноз'!$D$25:$AA$36,Sel_Row,AB37),"")</f>
        <v/>
      </c>
      <c r="AG37" s="18">
        <f>IF(AB37&lt;N_Hist,"",IF(AB37=N_Hist,AE37,INDEX('Прогноз'!$D$7:$O$18,Sel_Row,AB37-N_Hist)))</f>
        <v>18368.3964603567</v>
      </c>
      <c r="AH37" s="18" t="e">
        <f>IF(AB37&lt;=N_Hist,INDEX('Данные'!$F$19:$AC$19,AB37),NA())</f>
        <v>#N/A</v>
      </c>
      <c r="AI37" s="18">
        <f>IF(AB37&gt;N_Hist,INDEX('Прогноз'!$D$19:$O$19,AB37-N_Hist),NA())</f>
        <v>1899.07559098167</v>
      </c>
    </row>
    <row r="38" ht="1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AB38" s="16" t="n">
        <v>33</v>
      </c>
      <c r="AC38" s="17">
        <f>EDATE('Данные'!$F$6,AB38-1)</f>
        <v>46539.0</v>
      </c>
      <c r="AD38" s="16" t="str">
        <f>IF(MOD(AB38-1,6)=0,INDEX({"янв","фев","мар","апр","май","июн","июл","авг","сен","окт","ноя","дек"},MONTH(AC38))&amp;" "&amp;RIGHT(YEAR(AC38),2),"")</f>
        <v/>
      </c>
      <c r="AE38" s="18" t="str">
        <f>IF(AB38&lt;=N_Hist,INDEX(Sales,Sel_Row,AB38),"")</f>
        <v/>
      </c>
      <c r="AF38" s="18" t="str">
        <f>IF(AB38&lt;=N_Hist,INDEX('Прогноз'!$D$25:$AA$36,Sel_Row,AB38),"")</f>
        <v/>
      </c>
      <c r="AG38" s="18">
        <f>IF(AB38&lt;N_Hist,"",IF(AB38=N_Hist,AE38,INDEX('Прогноз'!$D$7:$O$18,Sel_Row,AB38-N_Hist)))</f>
        <v>21563.6683746528</v>
      </c>
      <c r="AH38" s="18" t="e">
        <f>IF(AB38&lt;=N_Hist,INDEX('Данные'!$F$19:$AC$19,AB38),NA())</f>
        <v>#N/A</v>
      </c>
      <c r="AI38" s="18">
        <f>IF(AB38&gt;N_Hist,INDEX('Прогноз'!$D$19:$O$19,AB38-N_Hist),NA())</f>
        <v>1891.67571000101</v>
      </c>
    </row>
    <row r="39" ht="1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AB39" s="16" t="n">
        <v>34</v>
      </c>
      <c r="AC39" s="17">
        <f>EDATE('Данные'!$F$6,AB39-1)</f>
        <v>46569.0</v>
      </c>
      <c r="AD39" s="16" t="str">
        <f>IF(MOD(AB39-1,6)=0,INDEX({"янв","фев","мар","апр","май","июн","июл","авг","сен","окт","ноя","дек"},MONTH(AC39))&amp;" "&amp;RIGHT(YEAR(AC39),2),"")</f>
        <v/>
      </c>
      <c r="AE39" s="18" t="str">
        <f>IF(AB39&lt;=N_Hist,INDEX(Sales,Sel_Row,AB39),"")</f>
        <v/>
      </c>
      <c r="AF39" s="18" t="str">
        <f>IF(AB39&lt;=N_Hist,INDEX('Прогноз'!$D$25:$AA$36,Sel_Row,AB39),"")</f>
        <v/>
      </c>
      <c r="AG39" s="18">
        <f>IF(AB39&lt;N_Hist,"",IF(AB39=N_Hist,AE39,INDEX('Прогноз'!$D$7:$O$18,Sel_Row,AB39-N_Hist)))</f>
        <v>20317.4177573208</v>
      </c>
      <c r="AH39" s="18" t="e">
        <f>IF(AB39&lt;=N_Hist,INDEX('Данные'!$F$19:$AC$19,AB39),NA())</f>
        <v>#N/A</v>
      </c>
      <c r="AI39" s="18">
        <f>IF(AB39&gt;N_Hist,INDEX('Прогноз'!$D$19:$O$19,AB39-N_Hist),NA())</f>
        <v>1865.62463651546</v>
      </c>
    </row>
    <row r="40" ht="1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AB40" s="16" t="n">
        <v>35</v>
      </c>
      <c r="AC40" s="17">
        <f>EDATE('Данные'!$F$6,AB40-1)</f>
        <v>46600.0</v>
      </c>
      <c r="AD40" s="16" t="str">
        <f>IF(MOD(AB40-1,6)=0,INDEX({"янв","фев","мар","апр","май","июн","июл","авг","сен","окт","ноя","дек"},MONTH(AC40))&amp;" "&amp;RIGHT(YEAR(AC40),2),"")</f>
        <v/>
      </c>
      <c r="AE40" s="18" t="str">
        <f>IF(AB40&lt;=N_Hist,INDEX(Sales,Sel_Row,AB40),"")</f>
        <v/>
      </c>
      <c r="AF40" s="18" t="str">
        <f>IF(AB40&lt;=N_Hist,INDEX('Прогноз'!$D$25:$AA$36,Sel_Row,AB40),"")</f>
        <v/>
      </c>
      <c r="AG40" s="18">
        <f>IF(AB40&lt;N_Hist,"",IF(AB40=N_Hist,AE40,INDEX('Прогноз'!$D$7:$O$18,Sel_Row,AB40-N_Hist)))</f>
        <v>21010.3267406594</v>
      </c>
      <c r="AH40" s="18" t="e">
        <f>IF(AB40&lt;=N_Hist,INDEX('Данные'!$F$19:$AC$19,AB40),NA())</f>
        <v>#N/A</v>
      </c>
      <c r="AI40" s="18">
        <f>IF(AB40&gt;N_Hist,INDEX('Прогноз'!$D$19:$O$19,AB40-N_Hist),NA())</f>
        <v>1919.62505151459</v>
      </c>
    </row>
    <row r="41" ht="15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AB41" s="16" t="n">
        <v>36</v>
      </c>
      <c r="AC41" s="17">
        <f>EDATE('Данные'!$F$6,AB41-1)</f>
        <v>46631.0</v>
      </c>
      <c r="AD41" s="16" t="str">
        <f>IF(MOD(AB41-1,6)=0,INDEX({"янв","фев","мар","апр","май","июн","июл","авг","сен","окт","ноя","дек"},MONTH(AC41))&amp;" "&amp;RIGHT(YEAR(AC41),2),"")</f>
        <v/>
      </c>
      <c r="AE41" s="18" t="str">
        <f>IF(AB41&lt;=N_Hist,INDEX(Sales,Sel_Row,AB41),"")</f>
        <v/>
      </c>
      <c r="AF41" s="18" t="str">
        <f>IF(AB41&lt;=N_Hist,INDEX('Прогноз'!$D$25:$AA$36,Sel_Row,AB41),"")</f>
        <v/>
      </c>
      <c r="AG41" s="18">
        <f>IF(AB41&lt;N_Hist,"",IF(AB41=N_Hist,AE41,INDEX('Прогноз'!$D$7:$O$18,Sel_Row,AB41-N_Hist)))</f>
        <v>17701.4412467776</v>
      </c>
      <c r="AH41" s="18" t="e">
        <f>IF(AB41&lt;=N_Hist,INDEX('Данные'!$F$19:$AC$19,AB41),NA())</f>
        <v>#N/A</v>
      </c>
      <c r="AI41" s="18">
        <f>IF(AB41&gt;N_Hist,INDEX('Прогноз'!$D$19:$O$19,AB41-N_Hist),NA())</f>
        <v>2064.62745272052</v>
      </c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AB42" s="4" t="inlineStr">
        <is>
          <t>Линия начала прогноза</t>
        </is>
      </c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AC43" s="17">
        <f>AC29</f>
        <v>46266.0</v>
      </c>
      <c r="AE43" s="18" t="n">
        <v>0</v>
      </c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AC44" s="17">
        <f>AC29</f>
        <v>46266.0</v>
      </c>
      <c r="AE44" s="18">
        <f>MAX(AE6:AE41,AG6:AG41)*1.06</f>
        <v>22857.488477132</v>
      </c>
    </row>
    <row r="45" ht="1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</row>
    <row r="46" ht="10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</row>
    <row r="47" ht="18" customHeight="1">
      <c r="A47" s="1" t="n"/>
      <c r="B47" s="5" t="str">
        <f>"Прогноз закупок на 12 мес.: "&amp;FIXED('Прогноз'!S19/1000,1)&amp;" млн ₽ · к заказу сейчас: "&amp;'Закупки'!T19&amp;" SKU на "&amp;FIXED('Закупки'!V19/1000,0)&amp;" тыс. ₽ · "&amp;COUNTIF('ABC-XYZ'!G8:G19,"A")&amp;" SKU класса A дают "&amp;FIXED(SUMIF('ABC-XYZ'!G8:G19,"A",'ABC-XYZ'!E8:E19)*100,0)&amp;" % стоимости закупок"</f>
        <v>Прогноз закупок на 12 мес.: 23,1 млн ₽ · к заказу сейчас: 6 SKU на 639 тыс. ₽ · 4 SKU класса A дают 78 % стоимости закупок</v>
      </c>
      <c r="Y47" s="1" t="n"/>
    </row>
    <row r="48" ht="16" customHeight="1">
      <c r="A48" s="1" t="n"/>
      <c r="B48" s="35" t="inlineStr">
        <is>
          <t>Как пользоваться: выберите код SKU в жёлтой ячейке — карточки и графики пересчитаются. Данные — лист «Данные», параметры — жёлтые ячейки на листах.</t>
        </is>
      </c>
      <c r="Y48" s="1" t="n"/>
    </row>
    <row r="49" ht="8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</row>
  </sheetData>
  <mergeCells count="29">
    <mergeCell ref="F5:H5"/>
    <mergeCell ref="B8:D8"/>
    <mergeCell ref="V9:X9"/>
    <mergeCell ref="F8:H8"/>
    <mergeCell ref="N8:P8"/>
    <mergeCell ref="B47:X47"/>
    <mergeCell ref="R2:X2"/>
    <mergeCell ref="J7:L7"/>
    <mergeCell ref="R5:X5"/>
    <mergeCell ref="B9:D9"/>
    <mergeCell ref="B48:X48"/>
    <mergeCell ref="N9:P9"/>
    <mergeCell ref="F9:H9"/>
    <mergeCell ref="J5:P5"/>
    <mergeCell ref="V7:X7"/>
    <mergeCell ref="B5:D5"/>
    <mergeCell ref="R9:T9"/>
    <mergeCell ref="J8:L8"/>
    <mergeCell ref="R8:T8"/>
    <mergeCell ref="B7:D7"/>
    <mergeCell ref="N7:P7"/>
    <mergeCell ref="B30:L30"/>
    <mergeCell ref="V8:X8"/>
    <mergeCell ref="R12:X12"/>
    <mergeCell ref="N30:X30"/>
    <mergeCell ref="F7:H7"/>
    <mergeCell ref="J9:L9"/>
    <mergeCell ref="R7:T7"/>
    <mergeCell ref="B12:P12"/>
  </mergeCells>
  <conditionalFormatting sqref="V8:X8">
    <cfRule type="expression" priority="1" dxfId="0">
      <formula>INDEX('Закупки'!$U$7:$U$18,Sel_Row)&gt;0</formula>
    </cfRule>
  </conditionalFormatting>
  <conditionalFormatting sqref="F9:H9">
    <cfRule type="expression" priority="2" dxfId="1">
      <formula>INDEX('Прогноз'!$R$7:$R$18,Sel_Row)&gt;0</formula>
    </cfRule>
    <cfRule type="expression" priority="3" dxfId="2">
      <formula>INDEX('Прогноз'!$R$7:$R$18,Sel_Row)&lt;0</formula>
    </cfRule>
  </conditionalFormatting>
  <dataValidations count="1">
    <dataValidation sqref="F5" showDropDown="0" showInputMessage="1" showErrorMessage="1" allowBlank="0" errorTitle="Неизвестный код" error="Выберите код из списка SKU (лист «Данные»)" promptTitle="SKU" prompt="Выберите код SKU из списка — показатели и графики пересчитаются" type="list">
      <formula1>SKU_Codes</formula1>
    </dataValidation>
  </dataValidations>
  <printOptions horizontalCentered="1" headings="0"/>
  <pageMargins left="0.2" right="0.2" top="0.2" bottom="0.2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98781"/>
    <outlinePr summaryBelow="1" summaryRight="1"/>
    <pageSetUpPr fitToPage="1"/>
  </sheetPr>
  <dimension ref="A1:AD21"/>
  <sheetViews>
    <sheetView showGridLines="0" zoomScale="100" workbookViewId="0">
      <pane xSplit="5" ySplit="6" topLeftCell="F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3" customWidth="1" min="2" max="2"/>
    <col width="12" customWidth="1" min="3" max="3"/>
    <col width="6" customWidth="1" min="4" max="4"/>
    <col width="9.5" customWidth="1" min="5" max="5"/>
    <col width="8.300000000000001" customWidth="1" min="6" max="6"/>
    <col width="8.300000000000001" customWidth="1" min="7" max="7"/>
    <col width="8.300000000000001" customWidth="1" min="8" max="8"/>
    <col width="8.300000000000001" customWidth="1" min="9" max="9"/>
    <col width="8.300000000000001" customWidth="1" min="10" max="10"/>
    <col width="8.300000000000001" customWidth="1" min="11" max="11"/>
    <col width="8.300000000000001" customWidth="1" min="12" max="12"/>
    <col width="8.300000000000001" customWidth="1" min="13" max="13"/>
    <col width="8.300000000000001" customWidth="1" min="14" max="14"/>
    <col width="8.300000000000001" customWidth="1" min="15" max="15"/>
    <col width="8.300000000000001" customWidth="1" min="16" max="16"/>
    <col width="8.300000000000001" customWidth="1" min="17" max="17"/>
    <col width="8.300000000000001" customWidth="1" min="18" max="18"/>
    <col width="8.300000000000001" customWidth="1" min="19" max="19"/>
    <col width="8.300000000000001" customWidth="1" min="20" max="20"/>
    <col width="8.300000000000001" customWidth="1" min="21" max="21"/>
    <col width="8.300000000000001" customWidth="1" min="22" max="22"/>
    <col width="8.300000000000001" customWidth="1" min="23" max="23"/>
    <col width="8.300000000000001" customWidth="1" min="24" max="24"/>
    <col width="8.300000000000001" customWidth="1" min="25" max="25"/>
    <col width="8.300000000000001" customWidth="1" min="26" max="26"/>
    <col width="8.300000000000001" customWidth="1" min="27" max="27"/>
    <col width="8.300000000000001" customWidth="1" min="28" max="28"/>
    <col width="8.300000000000001" customWidth="1" min="29" max="29"/>
    <col width="16" customWidth="1" min="30" max="30"/>
  </cols>
  <sheetData>
    <row r="1" ht="26" customHeight="1">
      <c r="A1" s="36" t="inlineStr">
        <is>
          <t>Исходные данные: расход по SKU, ед. в месяц</t>
        </is>
      </c>
    </row>
    <row r="2" ht="17" customHeight="1">
      <c r="A2" s="37" t="inlineStr">
        <is>
          <t>Сеть кофеен «Зерно и пар» (4 точки) · факт за октябрь 2024 — сентябрь 2026 · данные синтетические, сгенерированы для демонстрации модели</t>
        </is>
      </c>
    </row>
    <row r="3" ht="15" customHeight="1">
      <c r="A3" s="38" t="inlineStr">
        <is>
          <r>
            <rPr>
              <rFont val="Calibri"/>
              <color rgb="00898781"/>
              <sz val="9"/>
            </rPr>
            <t xml:space="preserve">Обозначения:  </t>
          </r>
          <r>
            <rPr>
              <rFont val="Calibri"/>
              <b val="1"/>
              <color rgb="000000FF"/>
              <sz val="9"/>
            </rPr>
            <t>синий</t>
          </r>
          <r>
            <rPr>
              <rFont val="Calibri"/>
              <color rgb="00898781"/>
              <sz val="9"/>
            </rPr>
            <t xml:space="preserve"> — исходные данные и параметры (ввод),  </t>
          </r>
          <r>
            <rPr>
              <rFont val="Calibri"/>
              <b val="1"/>
              <color rgb="001F2328"/>
              <sz val="9"/>
            </rPr>
            <t>чёрный</t>
          </r>
          <r>
            <rPr>
              <rFont val="Calibri"/>
              <color rgb="00898781"/>
              <sz val="9"/>
            </rPr>
            <t xml:space="preserve"> — формулы,  </t>
          </r>
          <r>
            <rPr>
              <rFont val="Calibri"/>
              <b val="1"/>
              <color rgb="00008000"/>
              <sz val="9"/>
            </rPr>
            <t>зелёный</t>
          </r>
          <r>
            <rPr>
              <rFont val="Calibri"/>
              <color rgb="00898781"/>
              <sz val="9"/>
            </rPr>
            <t xml:space="preserve"> — ссылки на другие листы,  жёлтая заливка — ячейки для ввода</t>
          </r>
        </is>
      </c>
    </row>
    <row r="4" ht="12" customHeight="1">
      <c r="E4" s="39" t="inlineStr">
        <is>
          <t>период t</t>
        </is>
      </c>
      <c r="F4" s="40" t="n">
        <v>1</v>
      </c>
      <c r="G4" s="40">
        <f>F4+1</f>
        <v>2</v>
      </c>
      <c r="H4" s="40">
        <f>G4+1</f>
        <v>3</v>
      </c>
      <c r="I4" s="40">
        <f>H4+1</f>
        <v>4</v>
      </c>
      <c r="J4" s="40">
        <f>I4+1</f>
        <v>5</v>
      </c>
      <c r="K4" s="40">
        <f>J4+1</f>
        <v>6</v>
      </c>
      <c r="L4" s="40">
        <f>K4+1</f>
        <v>7</v>
      </c>
      <c r="M4" s="40">
        <f>L4+1</f>
        <v>8</v>
      </c>
      <c r="N4" s="40">
        <f>M4+1</f>
        <v>9</v>
      </c>
      <c r="O4" s="40">
        <f>N4+1</f>
        <v>10</v>
      </c>
      <c r="P4" s="40">
        <f>O4+1</f>
        <v>11</v>
      </c>
      <c r="Q4" s="40">
        <f>P4+1</f>
        <v>12</v>
      </c>
      <c r="R4" s="40">
        <f>Q4+1</f>
        <v>13</v>
      </c>
      <c r="S4" s="40">
        <f>R4+1</f>
        <v>14</v>
      </c>
      <c r="T4" s="40">
        <f>S4+1</f>
        <v>15</v>
      </c>
      <c r="U4" s="40">
        <f>T4+1</f>
        <v>16</v>
      </c>
      <c r="V4" s="40">
        <f>U4+1</f>
        <v>17</v>
      </c>
      <c r="W4" s="40">
        <f>V4+1</f>
        <v>18</v>
      </c>
      <c r="X4" s="40">
        <f>W4+1</f>
        <v>19</v>
      </c>
      <c r="Y4" s="40">
        <f>X4+1</f>
        <v>20</v>
      </c>
      <c r="Z4" s="40">
        <f>Y4+1</f>
        <v>21</v>
      </c>
      <c r="AA4" s="40">
        <f>Z4+1</f>
        <v>22</v>
      </c>
      <c r="AB4" s="40">
        <f>AA4+1</f>
        <v>23</v>
      </c>
      <c r="AC4" s="40">
        <f>AB4+1</f>
        <v>24</v>
      </c>
    </row>
    <row r="5" ht="12" customHeight="1">
      <c r="E5" s="39" t="inlineStr">
        <is>
          <t>месяц №</t>
        </is>
      </c>
      <c r="F5" s="40">
        <f>MONTH(F6)</f>
        <v>10</v>
      </c>
      <c r="G5" s="40">
        <f>MONTH(G6)</f>
        <v>11</v>
      </c>
      <c r="H5" s="40">
        <f>MONTH(H6)</f>
        <v>12</v>
      </c>
      <c r="I5" s="40">
        <f>MONTH(I6)</f>
        <v>1</v>
      </c>
      <c r="J5" s="40">
        <f>MONTH(J6)</f>
        <v>2</v>
      </c>
      <c r="K5" s="40">
        <f>MONTH(K6)</f>
        <v>3</v>
      </c>
      <c r="L5" s="40">
        <f>MONTH(L6)</f>
        <v>4</v>
      </c>
      <c r="M5" s="40">
        <f>MONTH(M6)</f>
        <v>5</v>
      </c>
      <c r="N5" s="40">
        <f>MONTH(N6)</f>
        <v>6</v>
      </c>
      <c r="O5" s="40">
        <f>MONTH(O6)</f>
        <v>7</v>
      </c>
      <c r="P5" s="40">
        <f>MONTH(P6)</f>
        <v>8</v>
      </c>
      <c r="Q5" s="40">
        <f>MONTH(Q6)</f>
        <v>9</v>
      </c>
      <c r="R5" s="40">
        <f>MONTH(R6)</f>
        <v>10</v>
      </c>
      <c r="S5" s="40">
        <f>MONTH(S6)</f>
        <v>11</v>
      </c>
      <c r="T5" s="40">
        <f>MONTH(T6)</f>
        <v>12</v>
      </c>
      <c r="U5" s="40">
        <f>MONTH(U6)</f>
        <v>1</v>
      </c>
      <c r="V5" s="40">
        <f>MONTH(V6)</f>
        <v>2</v>
      </c>
      <c r="W5" s="40">
        <f>MONTH(W6)</f>
        <v>3</v>
      </c>
      <c r="X5" s="40">
        <f>MONTH(X6)</f>
        <v>4</v>
      </c>
      <c r="Y5" s="40">
        <f>MONTH(Y6)</f>
        <v>5</v>
      </c>
      <c r="Z5" s="40">
        <f>MONTH(Z6)</f>
        <v>6</v>
      </c>
      <c r="AA5" s="40">
        <f>MONTH(AA6)</f>
        <v>7</v>
      </c>
      <c r="AB5" s="40">
        <f>MONTH(AB6)</f>
        <v>8</v>
      </c>
      <c r="AC5" s="40">
        <f>MONTH(AC6)</f>
        <v>9</v>
      </c>
    </row>
    <row r="6" ht="30" customHeight="1">
      <c r="A6" s="41" t="inlineStr">
        <is>
          <t>Код</t>
        </is>
      </c>
      <c r="B6" s="42" t="inlineStr">
        <is>
          <t>Наименование</t>
        </is>
      </c>
      <c r="C6" s="41" t="inlineStr">
        <is>
          <t>Категория</t>
        </is>
      </c>
      <c r="D6" s="41" t="inlineStr">
        <is>
          <t>Ед.</t>
        </is>
      </c>
      <c r="E6" s="41" t="inlineStr">
        <is>
          <t>Цена, ₽/ед.</t>
        </is>
      </c>
      <c r="F6" s="43" t="n">
        <v>45566</v>
      </c>
      <c r="G6" s="43" t="n">
        <v>45597</v>
      </c>
      <c r="H6" s="43" t="n">
        <v>45627</v>
      </c>
      <c r="I6" s="43" t="n">
        <v>45658</v>
      </c>
      <c r="J6" s="43" t="n">
        <v>45689</v>
      </c>
      <c r="K6" s="43" t="n">
        <v>45717</v>
      </c>
      <c r="L6" s="43" t="n">
        <v>45748</v>
      </c>
      <c r="M6" s="43" t="n">
        <v>45778</v>
      </c>
      <c r="N6" s="43" t="n">
        <v>45809</v>
      </c>
      <c r="O6" s="43" t="n">
        <v>45839</v>
      </c>
      <c r="P6" s="43" t="n">
        <v>45870</v>
      </c>
      <c r="Q6" s="43" t="n">
        <v>45901</v>
      </c>
      <c r="R6" s="43" t="n">
        <v>45931</v>
      </c>
      <c r="S6" s="43" t="n">
        <v>45962</v>
      </c>
      <c r="T6" s="43" t="n">
        <v>45992</v>
      </c>
      <c r="U6" s="43" t="n">
        <v>46023</v>
      </c>
      <c r="V6" s="43" t="n">
        <v>46054</v>
      </c>
      <c r="W6" s="43" t="n">
        <v>46082</v>
      </c>
      <c r="X6" s="43" t="n">
        <v>46113</v>
      </c>
      <c r="Y6" s="43" t="n">
        <v>46143</v>
      </c>
      <c r="Z6" s="43" t="n">
        <v>46174</v>
      </c>
      <c r="AA6" s="43" t="n">
        <v>46204</v>
      </c>
      <c r="AB6" s="43" t="n">
        <v>46235</v>
      </c>
      <c r="AC6" s="43" t="n">
        <v>46266</v>
      </c>
      <c r="AD6" s="41" t="inlineStr">
        <is>
          <t>Динамика 24 мес.</t>
        </is>
      </c>
    </row>
    <row r="7" ht="17" customHeight="1">
      <c r="A7" s="44" t="inlineStr">
        <is>
          <t>ESP-01</t>
        </is>
      </c>
      <c r="B7" s="45" t="inlineStr">
        <is>
          <t>Зерно «Эспрессо-бленд»</t>
        </is>
      </c>
      <c r="C7" s="45" t="inlineStr">
        <is>
          <t>Кофе</t>
        </is>
      </c>
      <c r="D7" s="46" t="inlineStr">
        <is>
          <t>кг</t>
        </is>
      </c>
      <c r="E7" s="47" t="n">
        <v>1680</v>
      </c>
      <c r="F7" s="48" t="n">
        <v>363</v>
      </c>
      <c r="G7" s="48" t="n">
        <v>382</v>
      </c>
      <c r="H7" s="48" t="n">
        <v>370</v>
      </c>
      <c r="I7" s="48" t="n">
        <v>350</v>
      </c>
      <c r="J7" s="48" t="n">
        <v>358</v>
      </c>
      <c r="K7" s="48" t="n">
        <v>366</v>
      </c>
      <c r="L7" s="48" t="n">
        <v>365</v>
      </c>
      <c r="M7" s="48" t="n">
        <v>367</v>
      </c>
      <c r="N7" s="48" t="n">
        <v>348</v>
      </c>
      <c r="O7" s="48" t="n">
        <v>339</v>
      </c>
      <c r="P7" s="48" t="n">
        <v>360</v>
      </c>
      <c r="Q7" s="48" t="n">
        <v>394</v>
      </c>
      <c r="R7" s="48" t="n">
        <v>400</v>
      </c>
      <c r="S7" s="48" t="n">
        <v>406</v>
      </c>
      <c r="T7" s="48" t="n">
        <v>427</v>
      </c>
      <c r="U7" s="48" t="n">
        <v>350</v>
      </c>
      <c r="V7" s="48" t="n">
        <v>370</v>
      </c>
      <c r="W7" s="48" t="n">
        <v>405</v>
      </c>
      <c r="X7" s="48" t="n">
        <v>394</v>
      </c>
      <c r="Y7" s="48" t="n">
        <v>372</v>
      </c>
      <c r="Z7" s="48" t="n">
        <v>371</v>
      </c>
      <c r="AA7" s="48" t="n">
        <v>376</v>
      </c>
      <c r="AB7" s="48" t="n">
        <v>374</v>
      </c>
      <c r="AC7" s="48" t="n">
        <v>414</v>
      </c>
      <c r="AD7" s="49" t="n"/>
    </row>
    <row r="8" ht="17" customHeight="1">
      <c r="A8" s="50" t="inlineStr">
        <is>
          <t>FLT-02</t>
        </is>
      </c>
      <c r="B8" s="51" t="inlineStr">
        <is>
          <t>Зерно «Эфиопия Иргачеффе», фильтр</t>
        </is>
      </c>
      <c r="C8" s="51" t="inlineStr">
        <is>
          <t>Кофе</t>
        </is>
      </c>
      <c r="D8" s="52" t="inlineStr">
        <is>
          <t>кг</t>
        </is>
      </c>
      <c r="E8" s="53" t="n">
        <v>2450</v>
      </c>
      <c r="F8" s="54" t="n">
        <v>34</v>
      </c>
      <c r="G8" s="54" t="n">
        <v>36</v>
      </c>
      <c r="H8" s="54" t="n">
        <v>32</v>
      </c>
      <c r="I8" s="54" t="n">
        <v>37</v>
      </c>
      <c r="J8" s="54" t="n">
        <v>32</v>
      </c>
      <c r="K8" s="54" t="n">
        <v>36</v>
      </c>
      <c r="L8" s="54" t="n">
        <v>34</v>
      </c>
      <c r="M8" s="54" t="n">
        <v>43</v>
      </c>
      <c r="N8" s="54" t="n">
        <v>44</v>
      </c>
      <c r="O8" s="54" t="n">
        <v>46</v>
      </c>
      <c r="P8" s="54" t="n">
        <v>40</v>
      </c>
      <c r="Q8" s="54" t="n">
        <v>42</v>
      </c>
      <c r="R8" s="54" t="n">
        <v>38</v>
      </c>
      <c r="S8" s="54" t="n">
        <v>37</v>
      </c>
      <c r="T8" s="54" t="n">
        <v>41</v>
      </c>
      <c r="U8" s="54" t="n">
        <v>43</v>
      </c>
      <c r="V8" s="54" t="n">
        <v>42</v>
      </c>
      <c r="W8" s="54" t="n">
        <v>41</v>
      </c>
      <c r="X8" s="54" t="n">
        <v>42</v>
      </c>
      <c r="Y8" s="54" t="n">
        <v>52</v>
      </c>
      <c r="Z8" s="54" t="n">
        <v>51</v>
      </c>
      <c r="AA8" s="54" t="n">
        <v>54</v>
      </c>
      <c r="AB8" s="54" t="n">
        <v>59</v>
      </c>
      <c r="AC8" s="54" t="n">
        <v>45</v>
      </c>
      <c r="AD8" s="55" t="n"/>
    </row>
    <row r="9" ht="17" customHeight="1">
      <c r="A9" s="44" t="inlineStr">
        <is>
          <t>MLK-03</t>
        </is>
      </c>
      <c r="B9" s="45" t="inlineStr">
        <is>
          <t>Молоко 3,2 %</t>
        </is>
      </c>
      <c r="C9" s="45" t="inlineStr">
        <is>
          <t>Молочное</t>
        </is>
      </c>
      <c r="D9" s="46" t="inlineStr">
        <is>
          <t>л</t>
        </is>
      </c>
      <c r="E9" s="47" t="n">
        <v>92</v>
      </c>
      <c r="F9" s="48" t="n">
        <v>3875</v>
      </c>
      <c r="G9" s="48" t="n">
        <v>4025</v>
      </c>
      <c r="H9" s="48" t="n">
        <v>3947</v>
      </c>
      <c r="I9" s="48" t="n">
        <v>3220</v>
      </c>
      <c r="J9" s="48" t="n">
        <v>3180</v>
      </c>
      <c r="K9" s="48" t="n">
        <v>3591</v>
      </c>
      <c r="L9" s="48" t="n">
        <v>3374</v>
      </c>
      <c r="M9" s="48" t="n">
        <v>3380</v>
      </c>
      <c r="N9" s="48" t="n">
        <v>3225</v>
      </c>
      <c r="O9" s="48" t="n">
        <v>3212</v>
      </c>
      <c r="P9" s="48" t="n">
        <v>3433</v>
      </c>
      <c r="Q9" s="48" t="n">
        <v>3512</v>
      </c>
      <c r="R9" s="48" t="n">
        <v>3570</v>
      </c>
      <c r="S9" s="48" t="n">
        <v>3619</v>
      </c>
      <c r="T9" s="48" t="n">
        <v>3779</v>
      </c>
      <c r="U9" s="48" t="n">
        <v>3123</v>
      </c>
      <c r="V9" s="48" t="n">
        <v>3343</v>
      </c>
      <c r="W9" s="48" t="n">
        <v>3858</v>
      </c>
      <c r="X9" s="48" t="n">
        <v>3561</v>
      </c>
      <c r="Y9" s="48" t="n">
        <v>3629</v>
      </c>
      <c r="Z9" s="48" t="n">
        <v>3299</v>
      </c>
      <c r="AA9" s="48" t="n">
        <v>3394</v>
      </c>
      <c r="AB9" s="48" t="n">
        <v>3229</v>
      </c>
      <c r="AC9" s="48" t="n">
        <v>3707</v>
      </c>
      <c r="AD9" s="49" t="n"/>
    </row>
    <row r="10" ht="17" customHeight="1">
      <c r="A10" s="50" t="inlineStr">
        <is>
          <t>OAT-04</t>
        </is>
      </c>
      <c r="B10" s="51" t="inlineStr">
        <is>
          <t>Напиток овсяный «Бариста»</t>
        </is>
      </c>
      <c r="C10" s="51" t="inlineStr">
        <is>
          <t>Молочное</t>
        </is>
      </c>
      <c r="D10" s="52" t="inlineStr">
        <is>
          <t>л</t>
        </is>
      </c>
      <c r="E10" s="53" t="n">
        <v>245</v>
      </c>
      <c r="F10" s="54" t="n">
        <v>425</v>
      </c>
      <c r="G10" s="54" t="n">
        <v>371</v>
      </c>
      <c r="H10" s="54" t="n">
        <v>426</v>
      </c>
      <c r="I10" s="54" t="n">
        <v>384</v>
      </c>
      <c r="J10" s="54" t="n">
        <v>387</v>
      </c>
      <c r="K10" s="54" t="n">
        <v>398</v>
      </c>
      <c r="L10" s="54" t="n">
        <v>454</v>
      </c>
      <c r="M10" s="54" t="n">
        <v>426</v>
      </c>
      <c r="N10" s="54" t="n">
        <v>475</v>
      </c>
      <c r="O10" s="54" t="n">
        <v>417</v>
      </c>
      <c r="P10" s="54" t="n">
        <v>453</v>
      </c>
      <c r="Q10" s="54" t="n">
        <v>501</v>
      </c>
      <c r="R10" s="54" t="n">
        <v>516</v>
      </c>
      <c r="S10" s="54" t="n">
        <v>485</v>
      </c>
      <c r="T10" s="54" t="n">
        <v>520</v>
      </c>
      <c r="U10" s="54" t="n">
        <v>502</v>
      </c>
      <c r="V10" s="54" t="n">
        <v>505</v>
      </c>
      <c r="W10" s="54" t="n">
        <v>586</v>
      </c>
      <c r="X10" s="54" t="n">
        <v>592</v>
      </c>
      <c r="Y10" s="54" t="n">
        <v>521</v>
      </c>
      <c r="Z10" s="54" t="n">
        <v>529</v>
      </c>
      <c r="AA10" s="54" t="n">
        <v>549</v>
      </c>
      <c r="AB10" s="54" t="n">
        <v>619</v>
      </c>
      <c r="AC10" s="54" t="n">
        <v>749</v>
      </c>
      <c r="AD10" s="55" t="n"/>
    </row>
    <row r="11" ht="17" customHeight="1">
      <c r="A11" s="44" t="inlineStr">
        <is>
          <t>SYR-05</t>
        </is>
      </c>
      <c r="B11" s="45" t="inlineStr">
        <is>
          <t>Сироп «Ваниль», 1 л</t>
        </is>
      </c>
      <c r="C11" s="45" t="inlineStr">
        <is>
          <t>Сиропы</t>
        </is>
      </c>
      <c r="D11" s="46" t="inlineStr">
        <is>
          <t>бут.</t>
        </is>
      </c>
      <c r="E11" s="47" t="n">
        <v>540</v>
      </c>
      <c r="F11" s="48" t="n">
        <v>36</v>
      </c>
      <c r="G11" s="48" t="n">
        <v>38</v>
      </c>
      <c r="H11" s="48" t="n">
        <v>35</v>
      </c>
      <c r="I11" s="48" t="n">
        <v>34</v>
      </c>
      <c r="J11" s="48" t="n">
        <v>32</v>
      </c>
      <c r="K11" s="48" t="n">
        <v>41</v>
      </c>
      <c r="L11" s="48" t="n">
        <v>46</v>
      </c>
      <c r="M11" s="48" t="n">
        <v>42</v>
      </c>
      <c r="N11" s="48" t="n">
        <v>52</v>
      </c>
      <c r="O11" s="48" t="n">
        <v>46</v>
      </c>
      <c r="P11" s="48" t="n">
        <v>43</v>
      </c>
      <c r="Q11" s="48" t="n">
        <v>43</v>
      </c>
      <c r="R11" s="48" t="n">
        <v>42</v>
      </c>
      <c r="S11" s="48" t="n">
        <v>44</v>
      </c>
      <c r="T11" s="48" t="n">
        <v>38</v>
      </c>
      <c r="U11" s="48" t="n">
        <v>31</v>
      </c>
      <c r="V11" s="48" t="n">
        <v>42</v>
      </c>
      <c r="W11" s="48" t="n">
        <v>40</v>
      </c>
      <c r="X11" s="48" t="n">
        <v>44</v>
      </c>
      <c r="Y11" s="48" t="n">
        <v>55</v>
      </c>
      <c r="Z11" s="48" t="n">
        <v>41</v>
      </c>
      <c r="AA11" s="48" t="n">
        <v>51</v>
      </c>
      <c r="AB11" s="48" t="n">
        <v>51</v>
      </c>
      <c r="AC11" s="48" t="n">
        <v>45</v>
      </c>
      <c r="AD11" s="49" t="n"/>
    </row>
    <row r="12" ht="17" customHeight="1">
      <c r="A12" s="50" t="inlineStr">
        <is>
          <t>SYR-06</t>
        </is>
      </c>
      <c r="B12" s="51" t="inlineStr">
        <is>
          <t>Сироп «Тыквенный пряный», 1 л</t>
        </is>
      </c>
      <c r="C12" s="51" t="inlineStr">
        <is>
          <t>Сиропы</t>
        </is>
      </c>
      <c r="D12" s="52" t="inlineStr">
        <is>
          <t>бут.</t>
        </is>
      </c>
      <c r="E12" s="53" t="n">
        <v>610</v>
      </c>
      <c r="F12" s="54" t="n">
        <v>80</v>
      </c>
      <c r="G12" s="54" t="n">
        <v>64</v>
      </c>
      <c r="H12" s="54" t="n">
        <v>48</v>
      </c>
      <c r="I12" s="54" t="n">
        <v>10</v>
      </c>
      <c r="J12" s="54" t="n">
        <v>5</v>
      </c>
      <c r="K12" s="54" t="n">
        <v>4</v>
      </c>
      <c r="L12" s="54" t="n">
        <v>2</v>
      </c>
      <c r="M12" s="54" t="n">
        <v>3</v>
      </c>
      <c r="N12" s="54" t="n">
        <v>2</v>
      </c>
      <c r="O12" s="54" t="n">
        <v>3</v>
      </c>
      <c r="P12" s="54" t="n">
        <v>7</v>
      </c>
      <c r="Q12" s="54" t="n">
        <v>41</v>
      </c>
      <c r="R12" s="54" t="n">
        <v>86</v>
      </c>
      <c r="S12" s="54" t="n">
        <v>62</v>
      </c>
      <c r="T12" s="54" t="n">
        <v>56</v>
      </c>
      <c r="U12" s="54" t="n">
        <v>13</v>
      </c>
      <c r="V12" s="54" t="n">
        <v>5</v>
      </c>
      <c r="W12" s="54" t="n">
        <v>4</v>
      </c>
      <c r="X12" s="54" t="n">
        <v>2</v>
      </c>
      <c r="Y12" s="54" t="n">
        <v>2</v>
      </c>
      <c r="Z12" s="54" t="n">
        <v>3</v>
      </c>
      <c r="AA12" s="54" t="n">
        <v>3</v>
      </c>
      <c r="AB12" s="54" t="n">
        <v>11</v>
      </c>
      <c r="AC12" s="54" t="n">
        <v>56</v>
      </c>
      <c r="AD12" s="55" t="n"/>
    </row>
    <row r="13" ht="17" customHeight="1">
      <c r="A13" s="44" t="inlineStr">
        <is>
          <t>CUP-07</t>
        </is>
      </c>
      <c r="B13" s="45" t="inlineStr">
        <is>
          <t>Стакан бумажный 300 мл</t>
        </is>
      </c>
      <c r="C13" s="45" t="inlineStr">
        <is>
          <t>Упаковка</t>
        </is>
      </c>
      <c r="D13" s="46" t="inlineStr">
        <is>
          <t>шт.</t>
        </is>
      </c>
      <c r="E13" s="47" t="n">
        <v>7.4</v>
      </c>
      <c r="F13" s="48" t="n">
        <v>11612</v>
      </c>
      <c r="G13" s="48" t="n">
        <v>11985</v>
      </c>
      <c r="H13" s="48" t="n">
        <v>12360</v>
      </c>
      <c r="I13" s="48" t="n">
        <v>11100</v>
      </c>
      <c r="J13" s="48" t="n">
        <v>11432</v>
      </c>
      <c r="K13" s="48" t="n">
        <v>12721</v>
      </c>
      <c r="L13" s="48" t="n">
        <v>13131</v>
      </c>
      <c r="M13" s="48" t="n">
        <v>15105</v>
      </c>
      <c r="N13" s="48" t="n">
        <v>16412</v>
      </c>
      <c r="O13" s="48" t="n">
        <v>16529</v>
      </c>
      <c r="P13" s="48" t="n">
        <v>17117</v>
      </c>
      <c r="Q13" s="48" t="n">
        <v>13727</v>
      </c>
      <c r="R13" s="48" t="n">
        <v>13066</v>
      </c>
      <c r="S13" s="48" t="n">
        <v>11112</v>
      </c>
      <c r="T13" s="48" t="n">
        <v>12971</v>
      </c>
      <c r="U13" s="48" t="n">
        <v>12319</v>
      </c>
      <c r="V13" s="48" t="n">
        <v>12952</v>
      </c>
      <c r="W13" s="48" t="n">
        <v>15824</v>
      </c>
      <c r="X13" s="48" t="n">
        <v>15834</v>
      </c>
      <c r="Y13" s="48" t="n">
        <v>16103</v>
      </c>
      <c r="Z13" s="48" t="n">
        <v>20454</v>
      </c>
      <c r="AA13" s="48" t="n">
        <v>18132</v>
      </c>
      <c r="AB13" s="48" t="n">
        <v>18783</v>
      </c>
      <c r="AC13" s="48" t="n">
        <v>16653</v>
      </c>
      <c r="AD13" s="49" t="n"/>
    </row>
    <row r="14" ht="17" customHeight="1">
      <c r="A14" s="50" t="inlineStr">
        <is>
          <t>LID-08</t>
        </is>
      </c>
      <c r="B14" s="51" t="inlineStr">
        <is>
          <t>Крышка для стакана Ø 90 мм</t>
        </is>
      </c>
      <c r="C14" s="51" t="inlineStr">
        <is>
          <t>Упаковка</t>
        </is>
      </c>
      <c r="D14" s="52" t="inlineStr">
        <is>
          <t>шт.</t>
        </is>
      </c>
      <c r="E14" s="53" t="n">
        <v>3.1</v>
      </c>
      <c r="F14" s="54" t="n">
        <v>11241</v>
      </c>
      <c r="G14" s="54" t="n">
        <v>11615</v>
      </c>
      <c r="H14" s="54" t="n">
        <v>11373</v>
      </c>
      <c r="I14" s="54" t="n">
        <v>10798</v>
      </c>
      <c r="J14" s="54" t="n">
        <v>10726</v>
      </c>
      <c r="K14" s="54" t="n">
        <v>13046</v>
      </c>
      <c r="L14" s="54" t="n">
        <v>12807</v>
      </c>
      <c r="M14" s="54" t="n">
        <v>13539</v>
      </c>
      <c r="N14" s="54" t="n">
        <v>17162</v>
      </c>
      <c r="O14" s="54" t="n">
        <v>16295</v>
      </c>
      <c r="P14" s="54" t="n">
        <v>16003</v>
      </c>
      <c r="Q14" s="54" t="n">
        <v>15618</v>
      </c>
      <c r="R14" s="54" t="n">
        <v>13680</v>
      </c>
      <c r="S14" s="54" t="n">
        <v>12302</v>
      </c>
      <c r="T14" s="54" t="n">
        <v>12970</v>
      </c>
      <c r="U14" s="54" t="n">
        <v>11135</v>
      </c>
      <c r="V14" s="54" t="n">
        <v>12676</v>
      </c>
      <c r="W14" s="54" t="n">
        <v>14218</v>
      </c>
      <c r="X14" s="54" t="n">
        <v>15278</v>
      </c>
      <c r="Y14" s="54" t="n">
        <v>16118</v>
      </c>
      <c r="Z14" s="54" t="n">
        <v>14581</v>
      </c>
      <c r="AA14" s="54" t="n">
        <v>18835</v>
      </c>
      <c r="AB14" s="54" t="n">
        <v>17672</v>
      </c>
      <c r="AC14" s="54" t="n">
        <v>15324</v>
      </c>
      <c r="AD14" s="55" t="n"/>
    </row>
    <row r="15" ht="17" customHeight="1">
      <c r="A15" s="44" t="inlineStr">
        <is>
          <t>CRS-09</t>
        </is>
      </c>
      <c r="B15" s="45" t="inlineStr">
        <is>
          <t>Круассан сливочный, заморозка</t>
        </is>
      </c>
      <c r="C15" s="45" t="inlineStr">
        <is>
          <t>Выпечка</t>
        </is>
      </c>
      <c r="D15" s="46" t="inlineStr">
        <is>
          <t>шт.</t>
        </is>
      </c>
      <c r="E15" s="47" t="n">
        <v>54</v>
      </c>
      <c r="F15" s="48" t="n">
        <v>5294</v>
      </c>
      <c r="G15" s="48" t="n">
        <v>5279</v>
      </c>
      <c r="H15" s="48" t="n">
        <v>5479</v>
      </c>
      <c r="I15" s="48" t="n">
        <v>4243</v>
      </c>
      <c r="J15" s="48" t="n">
        <v>4447</v>
      </c>
      <c r="K15" s="48" t="n">
        <v>5092</v>
      </c>
      <c r="L15" s="48" t="n">
        <v>4989</v>
      </c>
      <c r="M15" s="48" t="n">
        <v>4875</v>
      </c>
      <c r="N15" s="48" t="n">
        <v>4651</v>
      </c>
      <c r="O15" s="48" t="n">
        <v>4575</v>
      </c>
      <c r="P15" s="48" t="n">
        <v>4658</v>
      </c>
      <c r="Q15" s="48" t="n">
        <v>5262</v>
      </c>
      <c r="R15" s="48" t="n">
        <v>5411</v>
      </c>
      <c r="S15" s="48" t="n">
        <v>5725</v>
      </c>
      <c r="T15" s="48" t="n">
        <v>5545</v>
      </c>
      <c r="U15" s="48" t="n">
        <v>4987</v>
      </c>
      <c r="V15" s="48" t="n">
        <v>5181</v>
      </c>
      <c r="W15" s="48" t="n">
        <v>5272</v>
      </c>
      <c r="X15" s="48" t="n">
        <v>5091</v>
      </c>
      <c r="Y15" s="48" t="n">
        <v>5174</v>
      </c>
      <c r="Z15" s="48" t="n">
        <v>5053</v>
      </c>
      <c r="AA15" s="48" t="n">
        <v>4456</v>
      </c>
      <c r="AB15" s="48" t="n">
        <v>4893</v>
      </c>
      <c r="AC15" s="48" t="n">
        <v>5494</v>
      </c>
      <c r="AD15" s="49" t="n"/>
    </row>
    <row r="16" ht="17" customHeight="1">
      <c r="A16" s="50" t="inlineStr">
        <is>
          <t>TEA-10</t>
        </is>
      </c>
      <c r="B16" s="51" t="inlineStr">
        <is>
          <t>Чай зелёный «Сенча», 500 г</t>
        </is>
      </c>
      <c r="C16" s="51" t="inlineStr">
        <is>
          <t>Чай и какао</t>
        </is>
      </c>
      <c r="D16" s="52" t="inlineStr">
        <is>
          <t>уп.</t>
        </is>
      </c>
      <c r="E16" s="53" t="n">
        <v>1450</v>
      </c>
      <c r="F16" s="54" t="n">
        <v>25</v>
      </c>
      <c r="G16" s="54" t="n">
        <v>29</v>
      </c>
      <c r="H16" s="54" t="n">
        <v>29</v>
      </c>
      <c r="I16" s="54" t="n">
        <v>29</v>
      </c>
      <c r="J16" s="54" t="n">
        <v>27</v>
      </c>
      <c r="K16" s="54" t="n">
        <v>25</v>
      </c>
      <c r="L16" s="54" t="n">
        <v>22</v>
      </c>
      <c r="M16" s="54" t="n">
        <v>18</v>
      </c>
      <c r="N16" s="54" t="n">
        <v>17</v>
      </c>
      <c r="O16" s="54" t="n">
        <v>15</v>
      </c>
      <c r="P16" s="54" t="n">
        <v>16</v>
      </c>
      <c r="Q16" s="54" t="n">
        <v>21</v>
      </c>
      <c r="R16" s="54" t="n">
        <v>25</v>
      </c>
      <c r="S16" s="54" t="n">
        <v>31</v>
      </c>
      <c r="T16" s="54" t="n">
        <v>33</v>
      </c>
      <c r="U16" s="54" t="n">
        <v>39</v>
      </c>
      <c r="V16" s="54" t="n">
        <v>37</v>
      </c>
      <c r="W16" s="54" t="n">
        <v>32</v>
      </c>
      <c r="X16" s="54" t="n">
        <v>29</v>
      </c>
      <c r="Y16" s="54" t="n">
        <v>18</v>
      </c>
      <c r="Z16" s="54" t="n">
        <v>18</v>
      </c>
      <c r="AA16" s="54" t="n">
        <v>17</v>
      </c>
      <c r="AB16" s="54" t="n">
        <v>18</v>
      </c>
      <c r="AC16" s="54" t="n">
        <v>28</v>
      </c>
      <c r="AD16" s="55" t="n"/>
    </row>
    <row r="17" ht="17" customHeight="1">
      <c r="A17" s="44" t="inlineStr">
        <is>
          <t>ICE-11</t>
        </is>
      </c>
      <c r="B17" s="45" t="inlineStr">
        <is>
          <t>Лёд пищевой, кубики</t>
        </is>
      </c>
      <c r="C17" s="45" t="inlineStr">
        <is>
          <t>Прочее</t>
        </is>
      </c>
      <c r="D17" s="46" t="inlineStr">
        <is>
          <t>кг</t>
        </is>
      </c>
      <c r="E17" s="47" t="n">
        <v>34</v>
      </c>
      <c r="F17" s="48" t="n">
        <v>325</v>
      </c>
      <c r="G17" s="48" t="n">
        <v>196</v>
      </c>
      <c r="H17" s="48" t="n">
        <v>173</v>
      </c>
      <c r="I17" s="48" t="n">
        <v>135</v>
      </c>
      <c r="J17" s="48" t="n">
        <v>147</v>
      </c>
      <c r="K17" s="48" t="n">
        <v>244</v>
      </c>
      <c r="L17" s="48" t="n">
        <v>350</v>
      </c>
      <c r="M17" s="48" t="n">
        <v>525</v>
      </c>
      <c r="N17" s="48" t="n">
        <v>862</v>
      </c>
      <c r="O17" s="48" t="n">
        <v>1052</v>
      </c>
      <c r="P17" s="48" t="n">
        <v>974</v>
      </c>
      <c r="Q17" s="48" t="n">
        <v>476</v>
      </c>
      <c r="R17" s="48" t="n">
        <v>270</v>
      </c>
      <c r="S17" s="48" t="n">
        <v>196</v>
      </c>
      <c r="T17" s="48" t="n">
        <v>182</v>
      </c>
      <c r="U17" s="48" t="n">
        <v>147</v>
      </c>
      <c r="V17" s="48" t="n">
        <v>197</v>
      </c>
      <c r="W17" s="48" t="n">
        <v>311</v>
      </c>
      <c r="X17" s="48" t="n">
        <v>421</v>
      </c>
      <c r="Y17" s="48" t="n">
        <v>571</v>
      </c>
      <c r="Z17" s="48" t="n">
        <v>970</v>
      </c>
      <c r="AA17" s="48" t="n">
        <v>936</v>
      </c>
      <c r="AB17" s="48" t="n">
        <v>813</v>
      </c>
      <c r="AC17" s="48" t="n">
        <v>566</v>
      </c>
      <c r="AD17" s="49" t="n"/>
    </row>
    <row r="18" ht="17" customHeight="1">
      <c r="A18" s="50" t="inlineStr">
        <is>
          <t>CHO-12</t>
        </is>
      </c>
      <c r="B18" s="51" t="inlineStr">
        <is>
          <t>Шоколад для горячего шоколада</t>
        </is>
      </c>
      <c r="C18" s="51" t="inlineStr">
        <is>
          <t>Чай и какао</t>
        </is>
      </c>
      <c r="D18" s="52" t="inlineStr">
        <is>
          <t>кг</t>
        </is>
      </c>
      <c r="E18" s="53" t="n">
        <v>1150</v>
      </c>
      <c r="F18" s="54" t="n">
        <v>29</v>
      </c>
      <c r="G18" s="54" t="n">
        <v>32</v>
      </c>
      <c r="H18" s="54" t="n">
        <v>33</v>
      </c>
      <c r="I18" s="54" t="n">
        <v>34</v>
      </c>
      <c r="J18" s="54" t="n">
        <v>35</v>
      </c>
      <c r="K18" s="54" t="n">
        <v>28</v>
      </c>
      <c r="L18" s="54" t="n">
        <v>22</v>
      </c>
      <c r="M18" s="54" t="n">
        <v>17</v>
      </c>
      <c r="N18" s="54" t="n">
        <v>11</v>
      </c>
      <c r="O18" s="54" t="n">
        <v>11</v>
      </c>
      <c r="P18" s="54" t="n">
        <v>12</v>
      </c>
      <c r="Q18" s="54" t="n">
        <v>20</v>
      </c>
      <c r="R18" s="54" t="n">
        <v>29</v>
      </c>
      <c r="S18" s="54" t="n">
        <v>37</v>
      </c>
      <c r="T18" s="54" t="n">
        <v>36</v>
      </c>
      <c r="U18" s="54" t="n">
        <v>42</v>
      </c>
      <c r="V18" s="54" t="n">
        <v>40</v>
      </c>
      <c r="W18" s="54" t="n">
        <v>29</v>
      </c>
      <c r="X18" s="54" t="n">
        <v>22</v>
      </c>
      <c r="Y18" s="54" t="n">
        <v>14</v>
      </c>
      <c r="Z18" s="54" t="n">
        <v>14</v>
      </c>
      <c r="AA18" s="54" t="n">
        <v>11</v>
      </c>
      <c r="AB18" s="54" t="n">
        <v>13</v>
      </c>
      <c r="AC18" s="54" t="n">
        <v>21</v>
      </c>
      <c r="AD18" s="55" t="n"/>
    </row>
    <row r="19" ht="19" customHeight="1">
      <c r="A19" s="56" t="inlineStr">
        <is>
          <t>Итого стоимость закупок, тыс. ₽</t>
        </is>
      </c>
      <c r="B19" s="56" t="n"/>
      <c r="C19" s="56" t="n"/>
      <c r="D19" s="56" t="n"/>
      <c r="E19" s="56" t="n"/>
      <c r="F19" s="57">
        <f>SUMPRODUCT(F7:F18,Prices)/1000</f>
        <v>1709.3069</v>
      </c>
      <c r="G19" s="57">
        <f>SUMPRODUCT(G7:G18,Prices)/1000</f>
        <v>1745.9905</v>
      </c>
      <c r="H19" s="57">
        <f>SUMPRODUCT(H7:H18,Prices)/1000</f>
        <v>1724.1423</v>
      </c>
      <c r="I19" s="57">
        <f>SUMPRODUCT(I7:I18,Prices)/1000</f>
        <v>1523.9058</v>
      </c>
      <c r="J19" s="57">
        <f>SUMPRODUCT(J7:J18,Prices)/1000</f>
        <v>1529.9284</v>
      </c>
      <c r="K19" s="57">
        <f>SUMPRODUCT(K7:K18,Prices)/1000</f>
        <v>1641.834</v>
      </c>
      <c r="L19" s="57">
        <f>SUMPRODUCT(L7:L18,Prices)/1000</f>
        <v>1619.5751</v>
      </c>
      <c r="M19" s="57">
        <f>SUMPRODUCT(M7:M18,Prices)/1000</f>
        <v>1642.2479</v>
      </c>
      <c r="N19" s="57">
        <f>SUMPRODUCT(N7:N18,Prices)/1000</f>
        <v>1627.228</v>
      </c>
      <c r="O19" s="57">
        <f>SUMPRODUCT(O7:O18,Prices)/1000</f>
        <v>1596.6061</v>
      </c>
      <c r="P19" s="57">
        <f>SUMPRODUCT(P7:P18,Prices)/1000</f>
        <v>1655.0341</v>
      </c>
      <c r="Q19" s="57">
        <f>SUMPRODUCT(Q7:Q18,Prices)/1000</f>
        <v>1762.6766</v>
      </c>
      <c r="R19" s="57">
        <f>SUMPRODUCT(R7:R18,Prices)/1000</f>
        <v>1805.1704</v>
      </c>
      <c r="S19" s="57">
        <f>SUMPRODUCT(S7:S18,Prices)/1000</f>
        <v>1809.762</v>
      </c>
      <c r="T19" s="57">
        <f>SUMPRODUCT(T7:T18,Prices)/1000</f>
        <v>1878.6184</v>
      </c>
      <c r="U19" s="57">
        <f>SUMPRODUCT(U7:U18,Prices)/1000</f>
        <v>1633.1511</v>
      </c>
      <c r="V19" s="57">
        <f>SUMPRODUCT(V7:V18,Prices)/1000</f>
        <v>1702.7734</v>
      </c>
      <c r="W19" s="57">
        <f>SUMPRODUCT(W7:W18,Prices)/1000</f>
        <v>1839.5814</v>
      </c>
      <c r="X19" s="57">
        <f>SUMPRODUCT(X7:X18,Prices)/1000</f>
        <v>1783.5634</v>
      </c>
      <c r="Y19" s="57">
        <f>SUMPRODUCT(Y7:Y18,Prices)/1000</f>
        <v>1754.931</v>
      </c>
      <c r="Z19" s="57">
        <f>SUMPRODUCT(Z7:Z18,Prices)/1000</f>
        <v>1749.9157</v>
      </c>
      <c r="AA19" s="57">
        <f>SUMPRODUCT(AA7:AA18,Prices)/1000</f>
        <v>1742.4163</v>
      </c>
      <c r="AB19" s="57">
        <f>SUMPRODUCT(AB7:AB18,Prices)/1000</f>
        <v>1782.5344</v>
      </c>
      <c r="AC19" s="57">
        <f>SUMPRODUCT(AC7:AC18,Prices)/1000</f>
        <v>1940.1856</v>
      </c>
      <c r="AD19" s="58" t="n"/>
    </row>
    <row r="21">
      <c r="A21" s="59" t="inlineStr">
        <is>
          <t>Источник: выгрузка из учётной системы (здесь — синтетический ряд: тренд × сезонность × случайный шум, seed 2026). Чтобы обновить модель, замените значения в синих ячейках — все остальные листы пересчитаются.</t>
        </is>
      </c>
    </row>
  </sheetData>
  <autoFilter ref="A6:AC18"/>
  <mergeCells count="1">
    <mergeCell ref="A19:E19"/>
  </mergeCells>
  <printOptions horizontalCentered="1" headings="0"/>
  <pageMargins left="0.25" right="0.25" top="0.25" bottom="0.25" header="0" footer="0"/>
  <pageSetup orientation="landscape" paperSize="9" fitToHeight="1" fitToWidth="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minAxisType="custom" manualMin="0">
          <x14:colorSeries rgb="FF6DA7EC"/>
          <x14:colorNegative rgb="FFB42318"/>
          <x14:colorAxis rgb="FF000000"/>
          <x14:colorMarkers rgb="FF6DA7EC"/>
          <x14:colorFirst rgb="FF6DA7EC"/>
          <x14:colorLast rgb="FF6DA7EC"/>
          <x14:colorHigh rgb="FF6DA7EC"/>
          <x14:colorLow rgb="FF6DA7EC"/>
          <x14:sparklines>
            <x14:sparkline>
              <xm:f>'Данные'!F7:AC7</xm:f>
              <xm:sqref>AD7</xm:sqref>
            </x14:sparkline>
            <x14:sparkline>
              <xm:f>'Данные'!F8:AC8</xm:f>
              <xm:sqref>AD8</xm:sqref>
            </x14:sparkline>
            <x14:sparkline>
              <xm:f>'Данные'!F9:AC9</xm:f>
              <xm:sqref>AD9</xm:sqref>
            </x14:sparkline>
            <x14:sparkline>
              <xm:f>'Данные'!F10:AC10</xm:f>
              <xm:sqref>AD10</xm:sqref>
            </x14:sparkline>
            <x14:sparkline>
              <xm:f>'Данные'!F11:AC11</xm:f>
              <xm:sqref>AD11</xm:sqref>
            </x14:sparkline>
            <x14:sparkline>
              <xm:f>'Данные'!F12:AC12</xm:f>
              <xm:sqref>AD12</xm:sqref>
            </x14:sparkline>
            <x14:sparkline>
              <xm:f>'Данные'!F13:AC13</xm:f>
              <xm:sqref>AD13</xm:sqref>
            </x14:sparkline>
            <x14:sparkline>
              <xm:f>'Данные'!F14:AC14</xm:f>
              <xm:sqref>AD14</xm:sqref>
            </x14:sparkline>
            <x14:sparkline>
              <xm:f>'Данные'!F15:AC15</xm:f>
              <xm:sqref>AD15</xm:sqref>
            </x14:sparkline>
            <x14:sparkline>
              <xm:f>'Данные'!F16:AC16</xm:f>
              <xm:sqref>AD16</xm:sqref>
            </x14:sparkline>
            <x14:sparkline>
              <xm:f>'Данные'!F17:AC17</xm:f>
              <xm:sqref>AD17</xm:sqref>
            </x14:sparkline>
            <x14:sparkline>
              <xm:f>'Данные'!F18:AC18</xm:f>
              <xm:sqref>AD18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>
  <sheetPr>
    <tabColor rgb="002A78D6"/>
    <outlinePr summaryBelow="1" summaryRight="1"/>
    <pageSetUpPr fitToPage="1"/>
  </sheetPr>
  <dimension ref="A1:AC49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3" customWidth="1" min="2" max="2"/>
    <col width="6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9.5" customWidth="1" min="16" max="16"/>
    <col width="9.5" customWidth="1" min="17" max="17"/>
    <col width="9.5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10" customWidth="1" min="28" max="28"/>
    <col width="10" customWidth="1" min="29" max="29"/>
  </cols>
  <sheetData>
    <row r="1" ht="26" customHeight="1">
      <c r="A1" s="36" t="inlineStr">
        <is>
          <t>Сезонные индексы спроса</t>
        </is>
      </c>
    </row>
    <row r="2" ht="17" customHeight="1">
      <c r="A2" s="37" t="inlineStr">
        <is>
          <t>Индекс месяца = СРЗНАЧЕСЛИМН(факт ÷ базовый тренд; месяц) ÷ среднее отношение за 24 мес. 1,20 — спрос на 20 % выше уровня тренда. Расчёт по шагам — ниже таблицы.</t>
        </is>
      </c>
    </row>
    <row r="3" ht="15" customHeight="1">
      <c r="A3" s="38" t="inlineStr">
        <is>
          <r>
            <rPr>
              <rFont val="Calibri"/>
              <color rgb="00898781"/>
              <sz val="9"/>
            </rPr>
            <t xml:space="preserve">Обозначения:  </t>
          </r>
          <r>
            <rPr>
              <rFont val="Calibri"/>
              <b val="1"/>
              <color rgb="000000FF"/>
              <sz val="9"/>
            </rPr>
            <t>синий</t>
          </r>
          <r>
            <rPr>
              <rFont val="Calibri"/>
              <color rgb="00898781"/>
              <sz val="9"/>
            </rPr>
            <t xml:space="preserve"> — исходные данные и параметры (ввод),  </t>
          </r>
          <r>
            <rPr>
              <rFont val="Calibri"/>
              <b val="1"/>
              <color rgb="001F2328"/>
              <sz val="9"/>
            </rPr>
            <t>чёрный</t>
          </r>
          <r>
            <rPr>
              <rFont val="Calibri"/>
              <color rgb="00898781"/>
              <sz val="9"/>
            </rPr>
            <t xml:space="preserve"> — формулы,  </t>
          </r>
          <r>
            <rPr>
              <rFont val="Calibri"/>
              <b val="1"/>
              <color rgb="00008000"/>
              <sz val="9"/>
            </rPr>
            <t>зелёный</t>
          </r>
          <r>
            <rPr>
              <rFont val="Calibri"/>
              <color rgb="00898781"/>
              <sz val="9"/>
            </rPr>
            <t xml:space="preserve"> — ссылки на другие листы,  жёлтая заливка — ячейки для ввода</t>
          </r>
        </is>
      </c>
    </row>
    <row r="5" ht="12" customHeight="1">
      <c r="C5" s="39" t="inlineStr">
        <is>
          <t>месяц №</t>
        </is>
      </c>
      <c r="D5" s="40" t="n">
        <v>1</v>
      </c>
      <c r="E5" s="40" t="n">
        <v>2</v>
      </c>
      <c r="F5" s="40" t="n">
        <v>3</v>
      </c>
      <c r="G5" s="40" t="n">
        <v>4</v>
      </c>
      <c r="H5" s="40" t="n">
        <v>5</v>
      </c>
      <c r="I5" s="40" t="n">
        <v>6</v>
      </c>
      <c r="J5" s="40" t="n">
        <v>7</v>
      </c>
      <c r="K5" s="40" t="n">
        <v>8</v>
      </c>
      <c r="L5" s="40" t="n">
        <v>9</v>
      </c>
      <c r="M5" s="40" t="n">
        <v>10</v>
      </c>
      <c r="N5" s="40" t="n">
        <v>11</v>
      </c>
      <c r="O5" s="40" t="n">
        <v>12</v>
      </c>
    </row>
    <row r="6" ht="32" customHeight="1">
      <c r="A6" s="41" t="inlineStr">
        <is>
          <t>Код</t>
        </is>
      </c>
      <c r="B6" s="42" t="inlineStr">
        <is>
          <t>Наименование</t>
        </is>
      </c>
      <c r="C6" s="41" t="inlineStr">
        <is>
          <t>Ед.</t>
        </is>
      </c>
      <c r="D6" s="41" t="inlineStr">
        <is>
          <t>янв</t>
        </is>
      </c>
      <c r="E6" s="41" t="inlineStr">
        <is>
          <t>фев</t>
        </is>
      </c>
      <c r="F6" s="41" t="inlineStr">
        <is>
          <t>мар</t>
        </is>
      </c>
      <c r="G6" s="41" t="inlineStr">
        <is>
          <t>апр</t>
        </is>
      </c>
      <c r="H6" s="41" t="inlineStr">
        <is>
          <t>май</t>
        </is>
      </c>
      <c r="I6" s="41" t="inlineStr">
        <is>
          <t>июн</t>
        </is>
      </c>
      <c r="J6" s="41" t="inlineStr">
        <is>
          <t>июл</t>
        </is>
      </c>
      <c r="K6" s="41" t="inlineStr">
        <is>
          <t>авг</t>
        </is>
      </c>
      <c r="L6" s="41" t="inlineStr">
        <is>
          <t>сен</t>
        </is>
      </c>
      <c r="M6" s="41" t="inlineStr">
        <is>
          <t>окт</t>
        </is>
      </c>
      <c r="N6" s="41" t="inlineStr">
        <is>
          <t>ноя</t>
        </is>
      </c>
      <c r="O6" s="41" t="inlineStr">
        <is>
          <t>дек</t>
        </is>
      </c>
      <c r="P6" s="41" t="inlineStr">
        <is>
          <t>Пиковый месяц</t>
        </is>
      </c>
      <c r="Q6" s="41" t="inlineStr">
        <is>
          <t>Размах, max ÷ min</t>
        </is>
      </c>
      <c r="R6" s="41" t="inlineStr">
        <is>
          <t>Контроль: среднее</t>
        </is>
      </c>
    </row>
    <row r="7" ht="17" customHeight="1">
      <c r="A7" s="60" t="str">
        <f>'Данные'!A7</f>
        <v>ESP-01</v>
      </c>
      <c r="B7" s="61" t="str">
        <f>'Данные'!B7</f>
        <v>Зерно «Эспрессо-бленд»</v>
      </c>
      <c r="C7" s="62" t="str">
        <f>'Данные'!D7</f>
        <v>кг</v>
      </c>
      <c r="D7" s="63">
        <f>AVERAGEIFS($D23:$AA23,MonthNo,D$5)/AVERAGE($D23:$AA23)</f>
        <v>0.944695750239429</v>
      </c>
      <c r="E7" s="63">
        <f>AVERAGEIFS($D23:$AA23,MonthNo,E$5)/AVERAGE($D23:$AA23)</f>
        <v>0.97650110375655</v>
      </c>
      <c r="F7" s="63">
        <f>AVERAGEIFS($D23:$AA23,MonthNo,F$5)/AVERAGE($D23:$AA23)</f>
        <v>1.02732087878386</v>
      </c>
      <c r="G7" s="63">
        <f>AVERAGEIFS($D23:$AA23,MonthNo,G$5)/AVERAGE($D23:$AA23)</f>
        <v>1.00620384685957</v>
      </c>
      <c r="H7" s="63">
        <f>AVERAGEIFS($D23:$AA23,MonthNo,H$5)/AVERAGE($D23:$AA23)</f>
        <v>0.975354938597104</v>
      </c>
      <c r="I7" s="63">
        <f>AVERAGEIFS($D23:$AA23,MonthNo,I$5)/AVERAGE($D23:$AA23)</f>
        <v>0.943038594175914</v>
      </c>
      <c r="J7" s="63">
        <f>AVERAGEIFS($D23:$AA23,MonthNo,J$5)/AVERAGE($D23:$AA23)</f>
        <v>0.932141998316159</v>
      </c>
      <c r="K7" s="63">
        <f>AVERAGEIFS($D23:$AA23,MonthNo,K$5)/AVERAGE($D23:$AA23)</f>
        <v>0.952786763363643</v>
      </c>
      <c r="L7" s="63">
        <f>AVERAGEIFS($D23:$AA23,MonthNo,L$5)/AVERAGE($D23:$AA23)</f>
        <v>1.04306016952498</v>
      </c>
      <c r="M7" s="63">
        <f>AVERAGEIFS($D23:$AA23,MonthNo,M$5)/AVERAGE($D23:$AA23)</f>
        <v>1.04551267093078</v>
      </c>
      <c r="N7" s="63">
        <f>AVERAGEIFS($D23:$AA23,MonthNo,N$5)/AVERAGE($D23:$AA23)</f>
        <v>1.07434523289045</v>
      </c>
      <c r="O7" s="63">
        <f>AVERAGEIFS($D23:$AA23,MonthNo,O$5)/AVERAGE($D23:$AA23)</f>
        <v>1.07903805256157</v>
      </c>
      <c r="P7" s="64" t="str">
        <f>INDEX($D$6:$O$6,MATCH(MAX(D7:O7),D7:O7,0))</f>
        <v>дек</v>
      </c>
      <c r="Q7" s="65">
        <f>MAX(D7:O7)/MIN(D7:O7)</f>
        <v>1.15758978193319</v>
      </c>
      <c r="R7" s="66">
        <f>AVERAGE(D7:O7)</f>
        <v>1</v>
      </c>
    </row>
    <row r="8" ht="17" customHeight="1">
      <c r="A8" s="60" t="str">
        <f>'Данные'!A8</f>
        <v>FLT-02</v>
      </c>
      <c r="B8" s="61" t="str">
        <f>'Данные'!B8</f>
        <v>Зерно «Эфиопия Иргачеффе», фильтр</v>
      </c>
      <c r="C8" s="62" t="str">
        <f>'Данные'!D8</f>
        <v>кг</v>
      </c>
      <c r="D8" s="63">
        <f>AVERAGEIFS($D24:$AA24,MonthNo,D$5)/AVERAGE($D24:$AA24)</f>
        <v>1.00016292360202</v>
      </c>
      <c r="E8" s="63">
        <f>AVERAGEIFS($D24:$AA24,MonthNo,E$5)/AVERAGE($D24:$AA24)</f>
        <v>0.905974641539062</v>
      </c>
      <c r="F8" s="63">
        <f>AVERAGEIFS($D24:$AA24,MonthNo,F$5)/AVERAGE($D24:$AA24)</f>
        <v>0.934483196201312</v>
      </c>
      <c r="G8" s="63">
        <f>AVERAGEIFS($D24:$AA24,MonthNo,G$5)/AVERAGE($D24:$AA24)</f>
        <v>0.905390617709725</v>
      </c>
      <c r="H8" s="63">
        <f>AVERAGEIFS($D24:$AA24,MonthNo,H$5)/AVERAGE($D24:$AA24)</f>
        <v>1.11626237357723</v>
      </c>
      <c r="I8" s="63">
        <f>AVERAGEIFS($D24:$AA24,MonthNo,I$5)/AVERAGE($D24:$AA24)</f>
        <v>1.10220666532276</v>
      </c>
      <c r="J8" s="63">
        <f>AVERAGEIFS($D24:$AA24,MonthNo,J$5)/AVERAGE($D24:$AA24)</f>
        <v>1.14312365471217</v>
      </c>
      <c r="K8" s="63">
        <f>AVERAGEIFS($D24:$AA24,MonthNo,K$5)/AVERAGE($D24:$AA24)</f>
        <v>1.10537533327535</v>
      </c>
      <c r="L8" s="63">
        <f>AVERAGEIFS($D24:$AA24,MonthNo,L$5)/AVERAGE($D24:$AA24)</f>
        <v>0.970711235687004</v>
      </c>
      <c r="M8" s="63">
        <f>AVERAGEIFS($D24:$AA24,MonthNo,M$5)/AVERAGE($D24:$AA24)</f>
        <v>0.945990559169586</v>
      </c>
      <c r="N8" s="63">
        <f>AVERAGEIFS($D24:$AA24,MonthNo,N$5)/AVERAGE($D24:$AA24)</f>
        <v>0.947483766042866</v>
      </c>
      <c r="O8" s="63">
        <f>AVERAGEIFS($D24:$AA24,MonthNo,O$5)/AVERAGE($D24:$AA24)</f>
        <v>0.922835033160928</v>
      </c>
      <c r="P8" s="64" t="str">
        <f>INDEX($D$6:$O$6,MATCH(MAX(D8:O8),D8:O8,0))</f>
        <v>июл</v>
      </c>
      <c r="Q8" s="65">
        <f>MAX(D8:O8)/MIN(D8:O8)</f>
        <v>1.26257510554264</v>
      </c>
      <c r="R8" s="66">
        <f>AVERAGE(D8:O8)</f>
        <v>1</v>
      </c>
    </row>
    <row r="9" ht="17" customHeight="1">
      <c r="A9" s="60" t="str">
        <f>'Данные'!A9</f>
        <v>MLK-03</v>
      </c>
      <c r="B9" s="61" t="str">
        <f>'Данные'!B9</f>
        <v>Молоко 3,2 %</v>
      </c>
      <c r="C9" s="62" t="str">
        <f>'Данные'!D9</f>
        <v>л</v>
      </c>
      <c r="D9" s="63">
        <f>AVERAGEIFS($D25:$AA25,MonthNo,D$5)/AVERAGE($D25:$AA25)</f>
        <v>0.905840610580062</v>
      </c>
      <c r="E9" s="63">
        <f>AVERAGEIFS($D25:$AA25,MonthNo,E$5)/AVERAGE($D25:$AA25)</f>
        <v>0.931232102447403</v>
      </c>
      <c r="F9" s="63">
        <f>AVERAGEIFS($D25:$AA25,MonthNo,F$5)/AVERAGE($D25:$AA25)</f>
        <v>1.06312147615268</v>
      </c>
      <c r="G9" s="63">
        <f>AVERAGEIFS($D25:$AA25,MonthNo,G$5)/AVERAGE($D25:$AA25)</f>
        <v>0.989508976126785</v>
      </c>
      <c r="H9" s="63">
        <f>AVERAGEIFS($D25:$AA25,MonthNo,H$5)/AVERAGE($D25:$AA25)</f>
        <v>0.999782154836492</v>
      </c>
      <c r="I9" s="63">
        <f>AVERAGEIFS($D25:$AA25,MonthNo,I$5)/AVERAGE($D25:$AA25)</f>
        <v>0.930384595887318</v>
      </c>
      <c r="J9" s="63">
        <f>AVERAGEIFS($D25:$AA25,MonthNo,J$5)/AVERAGE($D25:$AA25)</f>
        <v>0.941798153646309</v>
      </c>
      <c r="K9" s="63">
        <f>AVERAGEIFS($D25:$AA25,MonthNo,K$5)/AVERAGE($D25:$AA25)</f>
        <v>0.94961421162187</v>
      </c>
      <c r="L9" s="63">
        <f>AVERAGEIFS($D25:$AA25,MonthNo,L$5)/AVERAGE($D25:$AA25)</f>
        <v>1.02863457761708</v>
      </c>
      <c r="M9" s="63">
        <f>AVERAGEIFS($D25:$AA25,MonthNo,M$5)/AVERAGE($D25:$AA25)</f>
        <v>1.06412872250567</v>
      </c>
      <c r="N9" s="63">
        <f>AVERAGEIFS($D25:$AA25,MonthNo,N$5)/AVERAGE($D25:$AA25)</f>
        <v>1.09229675839185</v>
      </c>
      <c r="O9" s="63">
        <f>AVERAGEIFS($D25:$AA25,MonthNo,O$5)/AVERAGE($D25:$AA25)</f>
        <v>1.10365766018648</v>
      </c>
      <c r="P9" s="64" t="str">
        <f>INDEX($D$6:$O$6,MATCH(MAX(D9:O9),D9:O9,0))</f>
        <v>дек</v>
      </c>
      <c r="Q9" s="65">
        <f>MAX(D9:O9)/MIN(D9:O9)</f>
        <v>1.21837953310544</v>
      </c>
      <c r="R9" s="66">
        <f>AVERAGE(D9:O9)</f>
        <v>1</v>
      </c>
    </row>
    <row r="10" ht="17" customHeight="1">
      <c r="A10" s="60" t="str">
        <f>'Данные'!A10</f>
        <v>OAT-04</v>
      </c>
      <c r="B10" s="61" t="str">
        <f>'Данные'!B10</f>
        <v>Напиток овсяный «Бариста»</v>
      </c>
      <c r="C10" s="62" t="str">
        <f>'Данные'!D10</f>
        <v>л</v>
      </c>
      <c r="D10" s="63">
        <f>AVERAGEIFS($D26:$AA26,MonthNo,D$5)/AVERAGE($D26:$AA26)</f>
        <v>0.954569646073805</v>
      </c>
      <c r="E10" s="63">
        <f>AVERAGEIFS($D26:$AA26,MonthNo,E$5)/AVERAGE($D26:$AA26)</f>
        <v>0.938855737883466</v>
      </c>
      <c r="F10" s="63">
        <f>AVERAGEIFS($D26:$AA26,MonthNo,F$5)/AVERAGE($D26:$AA26)</f>
        <v>1.0041420409694</v>
      </c>
      <c r="G10" s="63">
        <f>AVERAGEIFS($D26:$AA26,MonthNo,G$5)/AVERAGE($D26:$AA26)</f>
        <v>1.05223123988964</v>
      </c>
      <c r="H10" s="63">
        <f>AVERAGEIFS($D26:$AA26,MonthNo,H$5)/AVERAGE($D26:$AA26)</f>
        <v>0.935852604666137</v>
      </c>
      <c r="I10" s="63">
        <f>AVERAGEIFS($D26:$AA26,MonthNo,I$5)/AVERAGE($D26:$AA26)</f>
        <v>0.976817748732893</v>
      </c>
      <c r="J10" s="63">
        <f>AVERAGEIFS($D26:$AA26,MonthNo,J$5)/AVERAGE($D26:$AA26)</f>
        <v>0.910781765698103</v>
      </c>
      <c r="K10" s="63">
        <f>AVERAGEIFS($D26:$AA26,MonthNo,K$5)/AVERAGE($D26:$AA26)</f>
        <v>0.988031468561947</v>
      </c>
      <c r="L10" s="63">
        <f>AVERAGEIFS($D26:$AA26,MonthNo,L$5)/AVERAGE($D26:$AA26)</f>
        <v>1.1233628244332</v>
      </c>
      <c r="M10" s="63">
        <f>AVERAGEIFS($D26:$AA26,MonthNo,M$5)/AVERAGE($D26:$AA26)</f>
        <v>1.09786767539014</v>
      </c>
      <c r="N10" s="63">
        <f>AVERAGEIFS($D26:$AA26,MonthNo,N$5)/AVERAGE($D26:$AA26)</f>
        <v>0.968308995999835</v>
      </c>
      <c r="O10" s="63">
        <f>AVERAGEIFS($D26:$AA26,MonthNo,O$5)/AVERAGE($D26:$AA26)</f>
        <v>1.04917825170144</v>
      </c>
      <c r="P10" s="64" t="str">
        <f>INDEX($D$6:$O$6,MATCH(MAX(D10:O10),D10:O10,0))</f>
        <v>сен</v>
      </c>
      <c r="Q10" s="65">
        <f>MAX(D10:O10)/MIN(D10:O10)</f>
        <v>1.23340504470042</v>
      </c>
      <c r="R10" s="66">
        <f>AVERAGE(D10:O10)</f>
        <v>1</v>
      </c>
    </row>
    <row r="11" ht="17" customHeight="1">
      <c r="A11" s="60" t="str">
        <f>'Данные'!A11</f>
        <v>SYR-05</v>
      </c>
      <c r="B11" s="61" t="str">
        <f>'Данные'!B11</f>
        <v>Сироп «Ваниль», 1 л</v>
      </c>
      <c r="C11" s="62" t="str">
        <f>'Данные'!D11</f>
        <v>бут.</v>
      </c>
      <c r="D11" s="63">
        <f>AVERAGEIFS($D27:$AA27,MonthNo,D$5)/AVERAGE($D27:$AA27)</f>
        <v>0.785746537224617</v>
      </c>
      <c r="E11" s="63">
        <f>AVERAGEIFS($D27:$AA27,MonthNo,E$5)/AVERAGE($D27:$AA27)</f>
        <v>0.883392170081622</v>
      </c>
      <c r="F11" s="63">
        <f>AVERAGEIFS($D27:$AA27,MonthNo,F$5)/AVERAGE($D27:$AA27)</f>
        <v>0.96630185777757</v>
      </c>
      <c r="G11" s="63">
        <f>AVERAGEIFS($D27:$AA27,MonthNo,G$5)/AVERAGE($D27:$AA27)</f>
        <v>1.06767682058674</v>
      </c>
      <c r="H11" s="63">
        <f>AVERAGEIFS($D27:$AA27,MonthNo,H$5)/AVERAGE($D27:$AA27)</f>
        <v>1.13763681268558</v>
      </c>
      <c r="I11" s="63">
        <f>AVERAGEIFS($D27:$AA27,MonthNo,I$5)/AVERAGE($D27:$AA27)</f>
        <v>1.09400143450244</v>
      </c>
      <c r="J11" s="63">
        <f>AVERAGEIFS($D27:$AA27,MonthNo,J$5)/AVERAGE($D27:$AA27)</f>
        <v>1.12769805887829</v>
      </c>
      <c r="K11" s="63">
        <f>AVERAGEIFS($D27:$AA27,MonthNo,K$5)/AVERAGE($D27:$AA27)</f>
        <v>1.08524041154841</v>
      </c>
      <c r="L11" s="63">
        <f>AVERAGEIFS($D27:$AA27,MonthNo,L$5)/AVERAGE($D27:$AA27)</f>
        <v>1.01231679672357</v>
      </c>
      <c r="M11" s="63">
        <f>AVERAGEIFS($D27:$AA27,MonthNo,M$5)/AVERAGE($D27:$AA27)</f>
        <v>0.955969119660015</v>
      </c>
      <c r="N11" s="63">
        <f>AVERAGEIFS($D27:$AA27,MonthNo,N$5)/AVERAGE($D27:$AA27)</f>
        <v>0.999009596975688</v>
      </c>
      <c r="O11" s="63">
        <f>AVERAGEIFS($D27:$AA27,MonthNo,O$5)/AVERAGE($D27:$AA27)</f>
        <v>0.885010383355466</v>
      </c>
      <c r="P11" s="64" t="str">
        <f>INDEX($D$6:$O$6,MATCH(MAX(D11:O11),D11:O11,0))</f>
        <v>май</v>
      </c>
      <c r="Q11" s="65">
        <f>MAX(D11:O11)/MIN(D11:O11)</f>
        <v>1.44784196784869</v>
      </c>
      <c r="R11" s="66">
        <f>AVERAGE(D11:O11)</f>
        <v>1</v>
      </c>
    </row>
    <row r="12" ht="17" customHeight="1">
      <c r="A12" s="60" t="str">
        <f>'Данные'!A12</f>
        <v>SYR-06</v>
      </c>
      <c r="B12" s="61" t="str">
        <f>'Данные'!B12</f>
        <v>Сироп «Тыквенный пряный», 1 л</v>
      </c>
      <c r="C12" s="62" t="str">
        <f>'Данные'!D12</f>
        <v>бут.</v>
      </c>
      <c r="D12" s="63">
        <f>AVERAGEIFS($D28:$AA28,MonthNo,D$5)/AVERAGE($D28:$AA28)</f>
        <v>0.480933191416204</v>
      </c>
      <c r="E12" s="63">
        <f>AVERAGEIFS($D28:$AA28,MonthNo,E$5)/AVERAGE($D28:$AA28)</f>
        <v>0.20864188424169</v>
      </c>
      <c r="F12" s="63">
        <f>AVERAGEIFS($D28:$AA28,MonthNo,F$5)/AVERAGE($D28:$AA28)</f>
        <v>0.165239741377808</v>
      </c>
      <c r="G12" s="63">
        <f>AVERAGEIFS($D28:$AA28,MonthNo,G$5)/AVERAGE($D28:$AA28)</f>
        <v>0.0817996626476595</v>
      </c>
      <c r="H12" s="63">
        <f>AVERAGEIFS($D28:$AA28,MonthNo,H$5)/AVERAGE($D28:$AA28)</f>
        <v>0.102430525675037</v>
      </c>
      <c r="I12" s="63">
        <f>AVERAGEIFS($D28:$AA28,MonthNo,I$5)/AVERAGE($D28:$AA28)</f>
        <v>0.0990960523257004</v>
      </c>
      <c r="J12" s="63">
        <f>AVERAGEIFS($D28:$AA28,MonthNo,J$5)/AVERAGE($D28:$AA28)</f>
        <v>0.119151350523102</v>
      </c>
      <c r="K12" s="63">
        <f>AVERAGEIFS($D28:$AA28,MonthNo,K$5)/AVERAGE($D28:$AA28)</f>
        <v>0.349564881468642</v>
      </c>
      <c r="L12" s="63">
        <f>AVERAGEIFS($D28:$AA28,MonthNo,L$5)/AVERAGE($D28:$AA28)</f>
        <v>1.8733793212955</v>
      </c>
      <c r="M12" s="63">
        <f>AVERAGEIFS($D28:$AA28,MonthNo,M$5)/AVERAGE($D28:$AA28)</f>
        <v>3.60153733061358</v>
      </c>
      <c r="N12" s="63">
        <f>AVERAGEIFS($D28:$AA28,MonthNo,N$5)/AVERAGE($D28:$AA28)</f>
        <v>2.71396806213539</v>
      </c>
      <c r="O12" s="63">
        <f>AVERAGEIFS($D28:$AA28,MonthNo,O$5)/AVERAGE($D28:$AA28)</f>
        <v>2.20425799627968</v>
      </c>
      <c r="P12" s="64" t="str">
        <f>INDEX($D$6:$O$6,MATCH(MAX(D12:O12),D12:O12,0))</f>
        <v>окт</v>
      </c>
      <c r="Q12" s="65">
        <f>MAX(D12:O12)/MIN(D12:O12)</f>
        <v>44.0287553033892</v>
      </c>
      <c r="R12" s="66">
        <f>AVERAGE(D12:O12)</f>
        <v>1</v>
      </c>
    </row>
    <row r="13" ht="17" customHeight="1">
      <c r="A13" s="60" t="str">
        <f>'Данные'!A13</f>
        <v>CUP-07</v>
      </c>
      <c r="B13" s="61" t="str">
        <f>'Данные'!B13</f>
        <v>Стакан бумажный 300 мл</v>
      </c>
      <c r="C13" s="62" t="str">
        <f>'Данные'!D13</f>
        <v>шт.</v>
      </c>
      <c r="D13" s="63">
        <f>AVERAGEIFS($D29:$AA29,MonthNo,D$5)/AVERAGE($D29:$AA29)</f>
        <v>0.833195327919982</v>
      </c>
      <c r="E13" s="63">
        <f>AVERAGEIFS($D29:$AA29,MonthNo,E$5)/AVERAGE($D29:$AA29)</f>
        <v>0.858084708601176</v>
      </c>
      <c r="F13" s="63">
        <f>AVERAGEIFS($D29:$AA29,MonthNo,F$5)/AVERAGE($D29:$AA29)</f>
        <v>0.991510749076473</v>
      </c>
      <c r="G13" s="63">
        <f>AVERAGEIFS($D29:$AA29,MonthNo,G$5)/AVERAGE($D29:$AA29)</f>
        <v>0.996947683127596</v>
      </c>
      <c r="H13" s="63">
        <f>AVERAGEIFS($D29:$AA29,MonthNo,H$5)/AVERAGE($D29:$AA29)</f>
        <v>1.06738817681171</v>
      </c>
      <c r="I13" s="63">
        <f>AVERAGEIFS($D29:$AA29,MonthNo,I$5)/AVERAGE($D29:$AA29)</f>
        <v>1.24274829466027</v>
      </c>
      <c r="J13" s="63">
        <f>AVERAGEIFS($D29:$AA29,MonthNo,J$5)/AVERAGE($D29:$AA29)</f>
        <v>1.16136269902015</v>
      </c>
      <c r="K13" s="63">
        <f>AVERAGEIFS($D29:$AA29,MonthNo,K$5)/AVERAGE($D29:$AA29)</f>
        <v>1.1912419091723</v>
      </c>
      <c r="L13" s="63">
        <f>AVERAGEIFS($D29:$AA29,MonthNo,L$5)/AVERAGE($D29:$AA29)</f>
        <v>0.995570631955181</v>
      </c>
      <c r="M13" s="63">
        <f>AVERAGEIFS($D29:$AA29,MonthNo,M$5)/AVERAGE($D29:$AA29)</f>
        <v>0.90577248976932</v>
      </c>
      <c r="N13" s="63">
        <f>AVERAGEIFS($D29:$AA29,MonthNo,N$5)/AVERAGE($D29:$AA29)</f>
        <v>0.843920410273774</v>
      </c>
      <c r="O13" s="63">
        <f>AVERAGEIFS($D29:$AA29,MonthNo,O$5)/AVERAGE($D29:$AA29)</f>
        <v>0.912256919612063</v>
      </c>
      <c r="P13" s="64" t="str">
        <f>INDEX($D$6:$O$6,MATCH(MAX(D13:O13),D13:O13,0))</f>
        <v>июн</v>
      </c>
      <c r="Q13" s="65">
        <f>MAX(D13:O13)/MIN(D13:O13)</f>
        <v>1.49154496312733</v>
      </c>
      <c r="R13" s="66">
        <f>AVERAGE(D13:O13)</f>
        <v>1</v>
      </c>
    </row>
    <row r="14" ht="17" customHeight="1">
      <c r="A14" s="60" t="str">
        <f>'Данные'!A14</f>
        <v>LID-08</v>
      </c>
      <c r="B14" s="61" t="str">
        <f>'Данные'!B14</f>
        <v>Крышка для стакана Ø 90 мм</v>
      </c>
      <c r="C14" s="62" t="str">
        <f>'Данные'!D14</f>
        <v>шт.</v>
      </c>
      <c r="D14" s="63">
        <f>AVERAGEIFS($D30:$AA30,MonthNo,D$5)/AVERAGE($D30:$AA30)</f>
        <v>0.80326681078052</v>
      </c>
      <c r="E14" s="63">
        <f>AVERAGEIFS($D30:$AA30,MonthNo,E$5)/AVERAGE($D30:$AA30)</f>
        <v>0.848224553622671</v>
      </c>
      <c r="F14" s="63">
        <f>AVERAGEIFS($D30:$AA30,MonthNo,F$5)/AVERAGE($D30:$AA30)</f>
        <v>0.982750684695688</v>
      </c>
      <c r="G14" s="63">
        <f>AVERAGEIFS($D30:$AA30,MonthNo,G$5)/AVERAGE($D30:$AA30)</f>
        <v>1.00305804568629</v>
      </c>
      <c r="H14" s="63">
        <f>AVERAGEIFS($D30:$AA30,MonthNo,H$5)/AVERAGE($D30:$AA30)</f>
        <v>1.05165616836431</v>
      </c>
      <c r="I14" s="63">
        <f>AVERAGEIFS($D30:$AA30,MonthNo,I$5)/AVERAGE($D30:$AA30)</f>
        <v>1.12567699343114</v>
      </c>
      <c r="J14" s="63">
        <f>AVERAGEIFS($D30:$AA30,MonthNo,J$5)/AVERAGE($D30:$AA30)</f>
        <v>1.22889186529554</v>
      </c>
      <c r="K14" s="63">
        <f>AVERAGEIFS($D30:$AA30,MonthNo,K$5)/AVERAGE($D30:$AA30)</f>
        <v>1.17084659285109</v>
      </c>
      <c r="L14" s="63">
        <f>AVERAGEIFS($D30:$AA30,MonthNo,L$5)/AVERAGE($D30:$AA30)</f>
        <v>1.0709587290883</v>
      </c>
      <c r="M14" s="63">
        <f>AVERAGEIFS($D30:$AA30,MonthNo,M$5)/AVERAGE($D30:$AA30)</f>
        <v>0.929943328002563</v>
      </c>
      <c r="N14" s="63">
        <f>AVERAGEIFS($D30:$AA30,MonthNo,N$5)/AVERAGE($D30:$AA30)</f>
        <v>0.888560374423399</v>
      </c>
      <c r="O14" s="63">
        <f>AVERAGEIFS($D30:$AA30,MonthNo,O$5)/AVERAGE($D30:$AA30)</f>
        <v>0.896165853758492</v>
      </c>
      <c r="P14" s="64" t="str">
        <f>INDEX($D$6:$O$6,MATCH(MAX(D14:O14),D14:O14,0))</f>
        <v>июл</v>
      </c>
      <c r="Q14" s="65">
        <f>MAX(D14:O14)/MIN(D14:O14)</f>
        <v>1.52986759667245</v>
      </c>
      <c r="R14" s="66">
        <f>AVERAGE(D14:O14)</f>
        <v>1</v>
      </c>
    </row>
    <row r="15" ht="17" customHeight="1">
      <c r="A15" s="60" t="str">
        <f>'Данные'!A15</f>
        <v>CRS-09</v>
      </c>
      <c r="B15" s="61" t="str">
        <f>'Данные'!B15</f>
        <v>Круассан сливочный, заморозка</v>
      </c>
      <c r="C15" s="62" t="str">
        <f>'Данные'!D15</f>
        <v>шт.</v>
      </c>
      <c r="D15" s="63">
        <f>AVERAGEIFS($D31:$AA31,MonthNo,D$5)/AVERAGE($D31:$AA31)</f>
        <v>0.923317382011992</v>
      </c>
      <c r="E15" s="63">
        <f>AVERAGEIFS($D31:$AA31,MonthNo,E$5)/AVERAGE($D31:$AA31)</f>
        <v>0.958665423218616</v>
      </c>
      <c r="F15" s="63">
        <f>AVERAGEIFS($D31:$AA31,MonthNo,F$5)/AVERAGE($D31:$AA31)</f>
        <v>1.02878263959418</v>
      </c>
      <c r="G15" s="63">
        <f>AVERAGEIFS($D31:$AA31,MonthNo,G$5)/AVERAGE($D31:$AA31)</f>
        <v>0.996068374700681</v>
      </c>
      <c r="H15" s="63">
        <f>AVERAGEIFS($D31:$AA31,MonthNo,H$5)/AVERAGE($D31:$AA31)</f>
        <v>0.987787452489871</v>
      </c>
      <c r="I15" s="63">
        <f>AVERAGEIFS($D31:$AA31,MonthNo,I$5)/AVERAGE($D31:$AA31)</f>
        <v>0.949100853975425</v>
      </c>
      <c r="J15" s="63">
        <f>AVERAGEIFS($D31:$AA31,MonthNo,J$5)/AVERAGE($D31:$AA31)</f>
        <v>0.880507874277466</v>
      </c>
      <c r="K15" s="63">
        <f>AVERAGEIFS($D31:$AA31,MonthNo,K$5)/AVERAGE($D31:$AA31)</f>
        <v>0.925912513847879</v>
      </c>
      <c r="L15" s="63">
        <f>AVERAGEIFS($D31:$AA31,MonthNo,L$5)/AVERAGE($D31:$AA31)</f>
        <v>1.03800552523264</v>
      </c>
      <c r="M15" s="63">
        <f>AVERAGEIFS($D31:$AA31,MonthNo,M$5)/AVERAGE($D31:$AA31)</f>
        <v>1.08867254030042</v>
      </c>
      <c r="N15" s="63">
        <f>AVERAGEIFS($D31:$AA31,MonthNo,N$5)/AVERAGE($D31:$AA31)</f>
        <v>1.11270727557954</v>
      </c>
      <c r="O15" s="63">
        <f>AVERAGEIFS($D31:$AA31,MonthNo,O$5)/AVERAGE($D31:$AA31)</f>
        <v>1.11047214477129</v>
      </c>
      <c r="P15" s="64" t="str">
        <f>INDEX($D$6:$O$6,MATCH(MAX(D15:O15),D15:O15,0))</f>
        <v>ноя</v>
      </c>
      <c r="Q15" s="65">
        <f>MAX(D15:O15)/MIN(D15:O15)</f>
        <v>1.2637107606705</v>
      </c>
      <c r="R15" s="66">
        <f>AVERAGE(D15:O15)</f>
        <v>1</v>
      </c>
    </row>
    <row r="16" ht="17" customHeight="1">
      <c r="A16" s="60" t="str">
        <f>'Данные'!A16</f>
        <v>TEA-10</v>
      </c>
      <c r="B16" s="61" t="str">
        <f>'Данные'!B16</f>
        <v>Чай зелёный «Сенча», 500 г</v>
      </c>
      <c r="C16" s="62" t="str">
        <f>'Данные'!D16</f>
        <v>уп.</v>
      </c>
      <c r="D16" s="63">
        <f>AVERAGEIFS($D32:$AA32,MonthNo,D$5)/AVERAGE($D32:$AA32)</f>
        <v>1.39275794621421</v>
      </c>
      <c r="E16" s="63">
        <f>AVERAGEIFS($D32:$AA32,MonthNo,E$5)/AVERAGE($D32:$AA32)</f>
        <v>1.29028784024059</v>
      </c>
      <c r="F16" s="63">
        <f>AVERAGEIFS($D32:$AA32,MonthNo,F$5)/AVERAGE($D32:$AA32)</f>
        <v>1.13572101675828</v>
      </c>
      <c r="G16" s="63">
        <f>AVERAGEIFS($D32:$AA32,MonthNo,G$5)/AVERAGE($D32:$AA32)</f>
        <v>1.00022320818542</v>
      </c>
      <c r="H16" s="63">
        <f>AVERAGEIFS($D32:$AA32,MonthNo,H$5)/AVERAGE($D32:$AA32)</f>
        <v>0.704222551043547</v>
      </c>
      <c r="I16" s="63">
        <f>AVERAGEIFS($D32:$AA32,MonthNo,I$5)/AVERAGE($D32:$AA32)</f>
        <v>0.673330098254406</v>
      </c>
      <c r="J16" s="63">
        <f>AVERAGEIFS($D32:$AA32,MonthNo,J$5)/AVERAGE($D32:$AA32)</f>
        <v>0.605318521545097</v>
      </c>
      <c r="K16" s="63">
        <f>AVERAGEIFS($D32:$AA32,MonthNo,K$5)/AVERAGE($D32:$AA32)</f>
        <v>0.634518580534128</v>
      </c>
      <c r="L16" s="63">
        <f>AVERAGEIFS($D32:$AA32,MonthNo,L$5)/AVERAGE($D32:$AA32)</f>
        <v>0.895941632919692</v>
      </c>
      <c r="M16" s="63">
        <f>AVERAGEIFS($D32:$AA32,MonthNo,M$5)/AVERAGE($D32:$AA32)</f>
        <v>1.08775362825571</v>
      </c>
      <c r="N16" s="63">
        <f>AVERAGEIFS($D32:$AA32,MonthNo,N$5)/AVERAGE($D32:$AA32)</f>
        <v>1.2807273985392</v>
      </c>
      <c r="O16" s="63">
        <f>AVERAGEIFS($D32:$AA32,MonthNo,O$5)/AVERAGE($D32:$AA32)</f>
        <v>1.29919757750973</v>
      </c>
      <c r="P16" s="64" t="str">
        <f>INDEX($D$6:$O$6,MATCH(MAX(D16:O16),D16:O16,0))</f>
        <v>янв</v>
      </c>
      <c r="Q16" s="65">
        <f>MAX(D16:O16)/MIN(D16:O16)</f>
        <v>2.30086788466202</v>
      </c>
      <c r="R16" s="66">
        <f>AVERAGE(D16:O16)</f>
        <v>1</v>
      </c>
    </row>
    <row r="17" ht="17" customHeight="1">
      <c r="A17" s="60" t="str">
        <f>'Данные'!A17</f>
        <v>ICE-11</v>
      </c>
      <c r="B17" s="61" t="str">
        <f>'Данные'!B17</f>
        <v>Лёд пищевой, кубики</v>
      </c>
      <c r="C17" s="62" t="str">
        <f>'Данные'!D17</f>
        <v>кг</v>
      </c>
      <c r="D17" s="63">
        <f>AVERAGEIFS($D33:$AA33,MonthNo,D$5)/AVERAGE($D33:$AA33)</f>
        <v>0.308836392293812</v>
      </c>
      <c r="E17" s="63">
        <f>AVERAGEIFS($D33:$AA33,MonthNo,E$5)/AVERAGE($D33:$AA33)</f>
        <v>0.375621536910891</v>
      </c>
      <c r="F17" s="63">
        <f>AVERAGEIFS($D33:$AA33,MonthNo,F$5)/AVERAGE($D33:$AA33)</f>
        <v>0.605074396629187</v>
      </c>
      <c r="G17" s="63">
        <f>AVERAGEIFS($D33:$AA33,MonthNo,G$5)/AVERAGE($D33:$AA33)</f>
        <v>0.839293720370338</v>
      </c>
      <c r="H17" s="63">
        <f>AVERAGEIFS($D33:$AA33,MonthNo,H$5)/AVERAGE($D33:$AA33)</f>
        <v>1.19156273132304</v>
      </c>
      <c r="I17" s="63">
        <f>AVERAGEIFS($D33:$AA33,MonthNo,I$5)/AVERAGE($D33:$AA33)</f>
        <v>1.98774642721326</v>
      </c>
      <c r="J17" s="63">
        <f>AVERAGEIFS($D33:$AA33,MonthNo,J$5)/AVERAGE($D33:$AA33)</f>
        <v>2.15584730498539</v>
      </c>
      <c r="K17" s="63">
        <f>AVERAGEIFS($D33:$AA33,MonthNo,K$5)/AVERAGE($D33:$AA33)</f>
        <v>1.93502958736148</v>
      </c>
      <c r="L17" s="63">
        <f>AVERAGEIFS($D33:$AA33,MonthNo,L$5)/AVERAGE($D33:$AA33)</f>
        <v>1.12411808259345</v>
      </c>
      <c r="M17" s="63">
        <f>AVERAGEIFS($D33:$AA33,MonthNo,M$5)/AVERAGE($D33:$AA33)</f>
        <v>0.656209387027226</v>
      </c>
      <c r="N17" s="63">
        <f>AVERAGEIFS($D33:$AA33,MonthNo,N$5)/AVERAGE($D33:$AA33)</f>
        <v>0.431088426964259</v>
      </c>
      <c r="O17" s="63">
        <f>AVERAGEIFS($D33:$AA33,MonthNo,O$5)/AVERAGE($D33:$AA33)</f>
        <v>0.389572006327669</v>
      </c>
      <c r="P17" s="64" t="str">
        <f>INDEX($D$6:$O$6,MATCH(MAX(D17:O17),D17:O17,0))</f>
        <v>июл</v>
      </c>
      <c r="Q17" s="65">
        <f>MAX(D17:O17)/MIN(D17:O17)</f>
        <v>6.98054814386777</v>
      </c>
      <c r="R17" s="66">
        <f>AVERAGE(D17:O17)</f>
        <v>1</v>
      </c>
    </row>
    <row r="18" ht="17" customHeight="1">
      <c r="A18" s="60" t="str">
        <f>'Данные'!A18</f>
        <v>CHO-12</v>
      </c>
      <c r="B18" s="61" t="str">
        <f>'Данные'!B18</f>
        <v>Шоколад для горячего шоколада</v>
      </c>
      <c r="C18" s="62" t="str">
        <f>'Данные'!D18</f>
        <v>кг</v>
      </c>
      <c r="D18" s="63">
        <f>AVERAGEIFS($D34:$AA34,MonthNo,D$5)/AVERAGE($D34:$AA34)</f>
        <v>1.55043013350687</v>
      </c>
      <c r="E18" s="63">
        <f>AVERAGEIFS($D34:$AA34,MonthNo,E$5)/AVERAGE($D34:$AA34)</f>
        <v>1.52200834430912</v>
      </c>
      <c r="F18" s="63">
        <f>AVERAGEIFS($D34:$AA34,MonthNo,F$5)/AVERAGE($D34:$AA34)</f>
        <v>1.15118132081774</v>
      </c>
      <c r="G18" s="63">
        <f>AVERAGEIFS($D34:$AA34,MonthNo,G$5)/AVERAGE($D34:$AA34)</f>
        <v>0.883257846186121</v>
      </c>
      <c r="H18" s="63">
        <f>AVERAGEIFS($D34:$AA34,MonthNo,H$5)/AVERAGE($D34:$AA34)</f>
        <v>0.62052003654832</v>
      </c>
      <c r="I18" s="63">
        <f>AVERAGEIFS($D34:$AA34,MonthNo,I$5)/AVERAGE($D34:$AA34)</f>
        <v>0.4927916812788</v>
      </c>
      <c r="J18" s="63">
        <f>AVERAGEIFS($D34:$AA34,MonthNo,J$5)/AVERAGE($D34:$AA34)</f>
        <v>0.43285604226757</v>
      </c>
      <c r="K18" s="63">
        <f>AVERAGEIFS($D34:$AA34,MonthNo,K$5)/AVERAGE($D34:$AA34)</f>
        <v>0.487877359793278</v>
      </c>
      <c r="L18" s="63">
        <f>AVERAGEIFS($D34:$AA34,MonthNo,L$5)/AVERAGE($D34:$AA34)</f>
        <v>0.795384296594945</v>
      </c>
      <c r="M18" s="63">
        <f>AVERAGEIFS($D34:$AA34,MonthNo,M$5)/AVERAGE($D34:$AA34)</f>
        <v>1.21348796895816</v>
      </c>
      <c r="N18" s="63">
        <f>AVERAGEIFS($D34:$AA34,MonthNo,N$5)/AVERAGE($D34:$AA34)</f>
        <v>1.42919333119093</v>
      </c>
      <c r="O18" s="63">
        <f>AVERAGEIFS($D34:$AA34,MonthNo,O$5)/AVERAGE($D34:$AA34)</f>
        <v>1.42101163854814</v>
      </c>
      <c r="P18" s="64" t="str">
        <f>INDEX($D$6:$O$6,MATCH(MAX(D18:O18),D18:O18,0))</f>
        <v>янв</v>
      </c>
      <c r="Q18" s="65">
        <f>MAX(D18:O18)/MIN(D18:O18)</f>
        <v>3.5818609008777</v>
      </c>
      <c r="R18" s="66">
        <f>AVERAGE(D18:O18)</f>
        <v>1</v>
      </c>
    </row>
    <row r="20">
      <c r="A20" s="59" t="inlineStr">
        <is>
          <t>Цветовая шкала: синий — месяц ниже тренда, красный — выше; серый — около среднего уровня (индекс ≈ 1,00).</t>
        </is>
      </c>
    </row>
    <row r="21" ht="20" customHeight="1">
      <c r="A21" s="67" t="inlineStr">
        <is>
          <t>Шаг 1. Отношение факта к базовому тренду. Базовый тренд: уровень = среднее за 24 мес., наклон = (Σ 2-го года − Σ 1-го года) ÷ 144 — годовые суммы не зависят от сезонности</t>
        </is>
      </c>
    </row>
    <row r="22" ht="30" customHeight="1">
      <c r="A22" s="41" t="inlineStr">
        <is>
          <t>Код</t>
        </is>
      </c>
      <c r="B22" s="68" t="inlineStr">
        <is>
          <t>Наименование</t>
        </is>
      </c>
      <c r="C22" s="41" t="inlineStr">
        <is>
          <t>Ед.</t>
        </is>
      </c>
      <c r="D22" s="43">
        <f>'Данные'!F6</f>
        <v>45566.0</v>
      </c>
      <c r="E22" s="43">
        <f>'Данные'!G6</f>
        <v>45597.0</v>
      </c>
      <c r="F22" s="43">
        <f>'Данные'!H6</f>
        <v>45627.0</v>
      </c>
      <c r="G22" s="43">
        <f>'Данные'!I6</f>
        <v>45658.0</v>
      </c>
      <c r="H22" s="43">
        <f>'Данные'!J6</f>
        <v>45689.0</v>
      </c>
      <c r="I22" s="43">
        <f>'Данные'!K6</f>
        <v>45717.0</v>
      </c>
      <c r="J22" s="43">
        <f>'Данные'!L6</f>
        <v>45748.0</v>
      </c>
      <c r="K22" s="43">
        <f>'Данные'!M6</f>
        <v>45778.0</v>
      </c>
      <c r="L22" s="43">
        <f>'Данные'!N6</f>
        <v>45809.0</v>
      </c>
      <c r="M22" s="43">
        <f>'Данные'!O6</f>
        <v>45839.0</v>
      </c>
      <c r="N22" s="43">
        <f>'Данные'!P6</f>
        <v>45870.0</v>
      </c>
      <c r="O22" s="43">
        <f>'Данные'!Q6</f>
        <v>45901.0</v>
      </c>
      <c r="P22" s="43">
        <f>'Данные'!R6</f>
        <v>45931.0</v>
      </c>
      <c r="Q22" s="43">
        <f>'Данные'!S6</f>
        <v>45962.0</v>
      </c>
      <c r="R22" s="43">
        <f>'Данные'!T6</f>
        <v>45992.0</v>
      </c>
      <c r="S22" s="43">
        <f>'Данные'!U6</f>
        <v>46023.0</v>
      </c>
      <c r="T22" s="43">
        <f>'Данные'!V6</f>
        <v>46054.0</v>
      </c>
      <c r="U22" s="43">
        <f>'Данные'!W6</f>
        <v>46082.0</v>
      </c>
      <c r="V22" s="43">
        <f>'Данные'!X6</f>
        <v>46113.0</v>
      </c>
      <c r="W22" s="43">
        <f>'Данные'!Y6</f>
        <v>46143.0</v>
      </c>
      <c r="X22" s="43">
        <f>'Данные'!Z6</f>
        <v>46174.0</v>
      </c>
      <c r="Y22" s="43">
        <f>'Данные'!AA6</f>
        <v>46204.0</v>
      </c>
      <c r="Z22" s="43">
        <f>'Данные'!AB6</f>
        <v>46235.0</v>
      </c>
      <c r="AA22" s="43">
        <f>'Данные'!AC6</f>
        <v>46266.0</v>
      </c>
      <c r="AB22" s="41" t="inlineStr">
        <is>
          <t>Уровень, ед./мес.</t>
        </is>
      </c>
      <c r="AC22" s="41" t="inlineStr">
        <is>
          <t>Наклон, ед./мес.</t>
        </is>
      </c>
    </row>
    <row r="23" ht="17" customHeight="1">
      <c r="A23" s="60" t="str">
        <f>'Данные'!A7</f>
        <v>ESP-01</v>
      </c>
      <c r="B23" s="61" t="str">
        <f>'Данные'!B7</f>
        <v>Зерно «Эспрессо-бленд»</v>
      </c>
      <c r="C23" s="62" t="str">
        <f>'Данные'!D7</f>
        <v>кг</v>
      </c>
      <c r="D23" s="69">
        <f>'Данные'!F7/($AB23+$AC23*('Данные'!F$4-AVERAGE(Periods)))</f>
        <v>1.03079243943562</v>
      </c>
      <c r="E23" s="69">
        <f>'Данные'!G7/($AB23+$AC23*('Данные'!G$4-AVERAGE(Periods)))</f>
        <v>1.0784296426996</v>
      </c>
      <c r="F23" s="69">
        <f>'Данные'!H7/($AB23+$AC23*('Данные'!H$4-AVERAGE(Periods)))</f>
        <v>1.03850539426366</v>
      </c>
      <c r="G23" s="69">
        <f>'Данные'!I7/($AB23+$AC23*('Данные'!I$4-AVERAGE(Periods)))</f>
        <v>0.976715793145548</v>
      </c>
      <c r="H23" s="69">
        <f>'Данные'!J7/($AB23+$AC23*('Данные'!J$4-AVERAGE(Periods)))</f>
        <v>0.993323506459724</v>
      </c>
      <c r="I23" s="69">
        <f>'Данные'!K7/($AB23+$AC23*('Данные'!K$4-AVERAGE(Periods)))</f>
        <v>1.00974221915682</v>
      </c>
      <c r="J23" s="69">
        <f>'Данные'!L7/($AB23+$AC23*('Данные'!L$4-AVERAGE(Periods)))</f>
        <v>1.00128589798543</v>
      </c>
      <c r="K23" s="69">
        <f>'Данные'!M7/($AB23+$AC23*('Данные'!M$4-AVERAGE(Periods)))</f>
        <v>1.00110817492115</v>
      </c>
      <c r="L23" s="69">
        <f>'Данные'!N7/($AB23+$AC23*('Данные'!N$4-AVERAGE(Periods)))</f>
        <v>0.94396880562855</v>
      </c>
      <c r="M23" s="69">
        <f>'Данные'!O7/($AB23+$AC23*('Данные'!O$4-AVERAGE(Periods)))</f>
        <v>0.91443985501138</v>
      </c>
      <c r="N23" s="69">
        <f>'Данные'!P7/($AB23+$AC23*('Данные'!P$4-AVERAGE(Periods)))</f>
        <v>0.96571380668958</v>
      </c>
      <c r="O23" s="69">
        <f>'Данные'!Q7/($AB23+$AC23*('Данные'!Q$4-AVERAGE(Periods)))</f>
        <v>1.05110462692789</v>
      </c>
      <c r="P23" s="69">
        <f>'Данные'!R7/($AB23+$AC23*('Данные'!R$4-AVERAGE(Periods)))</f>
        <v>1.06127186800431</v>
      </c>
      <c r="Q23" s="69">
        <f>'Данные'!S7/($AB23+$AC23*('Данные'!S$4-AVERAGE(Periods)))</f>
        <v>1.07132844066958</v>
      </c>
      <c r="R23" s="69">
        <f>'Данные'!T7/($AB23+$AC23*('Данные'!T$4-AVERAGE(Periods)))</f>
        <v>1.12064299188059</v>
      </c>
      <c r="S23" s="69">
        <f>'Данные'!U7/($AB23+$AC23*('Данные'!U$4-AVERAGE(Periods)))</f>
        <v>0.913614487315442</v>
      </c>
      <c r="T23" s="69">
        <f>'Данные'!V7/($AB23+$AC23*('Данные'!V$4-AVERAGE(Periods)))</f>
        <v>0.960649087221095</v>
      </c>
      <c r="U23" s="69">
        <f>'Данные'!W7/($AB23+$AC23*('Данные'!W$4-AVERAGE(Periods)))</f>
        <v>1.04592042611573</v>
      </c>
      <c r="V23" s="69">
        <f>'Данные'!X7/($AB23+$AC23*('Данные'!X$4-AVERAGE(Periods)))</f>
        <v>1.01212169864333</v>
      </c>
      <c r="W23" s="69">
        <f>'Данные'!Y7/($AB23+$AC23*('Данные'!Y$4-AVERAGE(Periods)))</f>
        <v>0.950570949453007</v>
      </c>
      <c r="X23" s="69">
        <f>'Данные'!Z7/($AB23+$AC23*('Данные'!Z$4-AVERAGE(Periods)))</f>
        <v>0.943045515926603</v>
      </c>
      <c r="Y23" s="69">
        <f>'Данные'!AA7/($AB23+$AC23*('Данные'!AA$4-AVERAGE(Periods)))</f>
        <v>0.950770446463848</v>
      </c>
      <c r="Z23" s="69">
        <f>'Данные'!AB7/($AB23+$AC23*('Данные'!AB$4-AVERAGE(Periods)))</f>
        <v>0.940806540366323</v>
      </c>
      <c r="AA23" s="69">
        <f>'Данные'!AC7/($AB23+$AC23*('Данные'!AC$4-AVERAGE(Periods)))</f>
        <v>1.03605224055682</v>
      </c>
      <c r="AB23" s="70">
        <f>AVERAGE('Данные'!$F7:$AC7)</f>
        <v>375.875</v>
      </c>
      <c r="AC23" s="71">
        <f>(SUM('Данные'!$R7:$AC7)-SUM('Данные'!$F7:$Q7))/144</f>
        <v>2.0625</v>
      </c>
    </row>
    <row r="24" ht="17" customHeight="1">
      <c r="A24" s="72" t="str">
        <f>'Данные'!A8</f>
        <v>FLT-02</v>
      </c>
      <c r="B24" s="73" t="str">
        <f>'Данные'!B8</f>
        <v>Зерно «Эфиопия Иргачеффе», фильтр</v>
      </c>
      <c r="C24" s="74" t="str">
        <f>'Данные'!D8</f>
        <v>кг</v>
      </c>
      <c r="D24" s="75">
        <f>'Данные'!F8/($AB24+$AC24*('Данные'!F$4-AVERAGE(Periods)))</f>
        <v>0.982639237330657</v>
      </c>
      <c r="E24" s="75">
        <f>'Данные'!G8/($AB24+$AC24*('Данные'!G$4-AVERAGE(Periods)))</f>
        <v>1.02218278615794</v>
      </c>
      <c r="F24" s="75">
        <f>'Данные'!H8/($AB24+$AC24*('Данные'!H$4-AVERAGE(Periods)))</f>
        <v>0.892936730936925</v>
      </c>
      <c r="G24" s="75">
        <f>'Данные'!I8/($AB24+$AC24*('Данные'!I$4-AVERAGE(Periods)))</f>
        <v>1.0149538051243</v>
      </c>
      <c r="H24" s="75">
        <f>'Данные'!J8/($AB24+$AC24*('Данные'!J$4-AVERAGE(Periods)))</f>
        <v>0.863163810059005</v>
      </c>
      <c r="I24" s="75">
        <f>'Данные'!K8/($AB24+$AC24*('Данные'!K$4-AVERAGE(Periods)))</f>
        <v>0.95513588208199</v>
      </c>
      <c r="J24" s="75">
        <f>'Данные'!L8/($AB24+$AC24*('Данные'!L$4-AVERAGE(Periods)))</f>
        <v>0.887519260400616</v>
      </c>
      <c r="K24" s="75">
        <f>'Данные'!M8/($AB24+$AC24*('Данные'!M$4-AVERAGE(Periods)))</f>
        <v>1.1046293818571</v>
      </c>
      <c r="L24" s="75">
        <f>'Данные'!N8/($AB24+$AC24*('Данные'!N$4-AVERAGE(Periods)))</f>
        <v>1.11265255948722</v>
      </c>
      <c r="M24" s="75">
        <f>'Данные'!O8/($AB24+$AC24*('Данные'!O$4-AVERAGE(Periods)))</f>
        <v>1.14532722399931</v>
      </c>
      <c r="N24" s="75">
        <f>'Данные'!P8/($AB24+$AC24*('Данные'!P$4-AVERAGE(Periods)))</f>
        <v>0.980842911877395</v>
      </c>
      <c r="O24" s="75">
        <f>'Данные'!Q8/($AB24+$AC24*('Данные'!Q$4-AVERAGE(Periods)))</f>
        <v>1.01450977103078</v>
      </c>
      <c r="P24" s="75">
        <f>'Данные'!R8/($AB24+$AC24*('Данные'!R$4-AVERAGE(Periods)))</f>
        <v>0.904388067101892</v>
      </c>
      <c r="Q24" s="75">
        <f>'Данные'!S8/($AB24+$AC24*('Данные'!S$4-AVERAGE(Periods)))</f>
        <v>0.867823112631322</v>
      </c>
      <c r="R24" s="75">
        <f>'Данные'!T8/($AB24+$AC24*('Данные'!T$4-AVERAGE(Periods)))</f>
        <v>0.947900778678655</v>
      </c>
      <c r="S24" s="75">
        <f>'Данные'!U8/($AB24+$AC24*('Данные'!U$4-AVERAGE(Periods)))</f>
        <v>0.98013454689355</v>
      </c>
      <c r="T24" s="75">
        <f>'Данные'!V8/($AB24+$AC24*('Данные'!V$4-AVERAGE(Periods)))</f>
        <v>0.944041208147975</v>
      </c>
      <c r="U24" s="75">
        <f>'Данные'!W8/($AB24+$AC24*('Данные'!W$4-AVERAGE(Periods)))</f>
        <v>0.908936956354399</v>
      </c>
      <c r="V24" s="75">
        <f>'Данные'!X8/($AB24+$AC24*('Данные'!X$4-AVERAGE(Periods)))</f>
        <v>0.91852076847141</v>
      </c>
      <c r="W24" s="75">
        <f>'Данные'!Y8/($AB24+$AC24*('Данные'!Y$4-AVERAGE(Periods)))</f>
        <v>1.12204989885368</v>
      </c>
      <c r="X24" s="75">
        <f>'Данные'!Z8/($AB24+$AC24*('Данные'!Z$4-AVERAGE(Periods)))</f>
        <v>1.08598890942699</v>
      </c>
      <c r="Y24" s="75">
        <f>'Данные'!AA8/($AB24+$AC24*('Данные'!AA$4-AVERAGE(Periods)))</f>
        <v>1.13493395606801</v>
      </c>
      <c r="Z24" s="75">
        <f>'Данные'!AB8/($AB24+$AC24*('Данные'!AB$4-AVERAGE(Periods)))</f>
        <v>1.22411929976226</v>
      </c>
      <c r="AA24" s="75">
        <f>'Данные'!AC8/($AB24+$AC24*('Данные'!AC$4-AVERAGE(Periods)))</f>
        <v>0.92182943310335</v>
      </c>
      <c r="AB24" s="76">
        <f>AVERAGE('Данные'!$F8:$AC8)</f>
        <v>41.7083333333333</v>
      </c>
      <c r="AC24" s="77">
        <f>(SUM('Данные'!$R8:$AC8)-SUM('Данные'!$F8:$Q8))/144</f>
        <v>0.618055555555556</v>
      </c>
    </row>
    <row r="25" ht="17" customHeight="1">
      <c r="A25" s="60" t="str">
        <f>'Данные'!A9</f>
        <v>MLK-03</v>
      </c>
      <c r="B25" s="61" t="str">
        <f>'Данные'!B9</f>
        <v>Молоко 3,2 %</v>
      </c>
      <c r="C25" s="62" t="str">
        <f>'Данные'!D9</f>
        <v>л</v>
      </c>
      <c r="D25" s="69">
        <f>'Данные'!F9/($AB25+$AC25*('Данные'!F$4-AVERAGE(Periods)))</f>
        <v>1.109488412507</v>
      </c>
      <c r="E25" s="69">
        <f>'Данные'!G9/($AB25+$AC25*('Данные'!G$4-AVERAGE(Periods)))</f>
        <v>1.15212251141239</v>
      </c>
      <c r="F25" s="69">
        <f>'Данные'!H9/($AB25+$AC25*('Данные'!H$4-AVERAGE(Periods)))</f>
        <v>1.12948807502258</v>
      </c>
      <c r="G25" s="69">
        <f>'Данные'!I9/($AB25+$AC25*('Данные'!I$4-AVERAGE(Periods)))</f>
        <v>0.921196275719163</v>
      </c>
      <c r="H25" s="69">
        <f>'Данные'!J9/($AB25+$AC25*('Данные'!J$4-AVERAGE(Periods)))</f>
        <v>0.909505295616034</v>
      </c>
      <c r="I25" s="69">
        <f>'Данные'!K9/($AB25+$AC25*('Данные'!K$4-AVERAGE(Periods)))</f>
        <v>1.02677517451171</v>
      </c>
      <c r="J25" s="69">
        <f>'Данные'!L9/($AB25+$AC25*('Данные'!L$4-AVERAGE(Periods)))</f>
        <v>0.964465967188513</v>
      </c>
      <c r="K25" s="69">
        <f>'Данные'!M9/($AB25+$AC25*('Данные'!M$4-AVERAGE(Periods)))</f>
        <v>0.965918393470049</v>
      </c>
      <c r="L25" s="69">
        <f>'Данные'!N9/($AB25+$AC25*('Данные'!N$4-AVERAGE(Periods)))</f>
        <v>0.921372813748374</v>
      </c>
      <c r="M25" s="69">
        <f>'Данные'!O9/($AB25+$AC25*('Данные'!O$4-AVERAGE(Periods)))</f>
        <v>0.917409392711748</v>
      </c>
      <c r="N25" s="69">
        <f>'Данные'!P9/($AB25+$AC25*('Данные'!P$4-AVERAGE(Periods)))</f>
        <v>0.980264899480374</v>
      </c>
      <c r="O25" s="69">
        <f>'Данные'!Q9/($AB25+$AC25*('Данные'!Q$4-AVERAGE(Periods)))</f>
        <v>1.00255034528285</v>
      </c>
      <c r="P25" s="69">
        <f>'Данные'!R9/($AB25+$AC25*('Данные'!R$4-AVERAGE(Periods)))</f>
        <v>1.01883056848439</v>
      </c>
      <c r="Q25" s="69">
        <f>'Данные'!S9/($AB25+$AC25*('Данные'!S$4-AVERAGE(Periods)))</f>
        <v>1.03253417024046</v>
      </c>
      <c r="R25" s="69">
        <f>'Данные'!T9/($AB25+$AC25*('Данные'!T$4-AVERAGE(Periods)))</f>
        <v>1.07789106719289</v>
      </c>
      <c r="S25" s="69">
        <f>'Данные'!U9/($AB25+$AC25*('Данные'!U$4-AVERAGE(Periods)))</f>
        <v>0.89053732800385</v>
      </c>
      <c r="T25" s="69">
        <f>'Данные'!V9/($AB25+$AC25*('Данные'!V$4-AVERAGE(Periods)))</f>
        <v>0.953012760169977</v>
      </c>
      <c r="U25" s="69">
        <f>'Данные'!W9/($AB25+$AC25*('Данные'!W$4-AVERAGE(Periods)))</f>
        <v>1.09952925552707</v>
      </c>
      <c r="V25" s="69">
        <f>'Данные'!X9/($AB25+$AC25*('Данные'!X$4-AVERAGE(Periods)))</f>
        <v>1.01460920596636</v>
      </c>
      <c r="W25" s="69">
        <f>'Данные'!Y9/($AB25+$AC25*('Данные'!Y$4-AVERAGE(Periods)))</f>
        <v>1.03370373117721</v>
      </c>
      <c r="X25" s="69">
        <f>'Данные'!Z9/($AB25+$AC25*('Данные'!Z$4-AVERAGE(Periods)))</f>
        <v>0.939450179908222</v>
      </c>
      <c r="Y25" s="69">
        <f>'Данные'!AA9/($AB25+$AC25*('Данные'!AA$4-AVERAGE(Periods)))</f>
        <v>0.96624137648116</v>
      </c>
      <c r="Z25" s="69">
        <f>'Данные'!AB9/($AB25+$AC25*('Данные'!AB$4-AVERAGE(Periods)))</f>
        <v>0.91901843764731</v>
      </c>
      <c r="AA25" s="69">
        <f>'Данные'!AC9/($AB25+$AC25*('Данные'!AC$4-AVERAGE(Periods)))</f>
        <v>1.05477829339114</v>
      </c>
      <c r="AB25" s="70">
        <f>AVERAGE('Данные'!$F9:$AC9)</f>
        <v>3503.54166666667</v>
      </c>
      <c r="AC25" s="71">
        <f>(SUM('Данные'!$R9:$AC9)-SUM('Данные'!$F9:$Q9))/144</f>
        <v>0.951388888888889</v>
      </c>
    </row>
    <row r="26" ht="17" customHeight="1">
      <c r="A26" s="72" t="str">
        <f>'Данные'!A10</f>
        <v>OAT-04</v>
      </c>
      <c r="B26" s="73" t="str">
        <f>'Данные'!B10</f>
        <v>Напиток овсяный «Бариста»</v>
      </c>
      <c r="C26" s="74" t="str">
        <f>'Данные'!D10</f>
        <v>л</v>
      </c>
      <c r="D26" s="75">
        <f>'Данные'!F10/($AB26+$AC26*('Данные'!F$4-AVERAGE(Periods)))</f>
        <v>1.15808197403777</v>
      </c>
      <c r="E26" s="75">
        <f>'Данные'!G10/($AB26+$AC26*('Данные'!G$4-AVERAGE(Periods)))</f>
        <v>0.98202271975295</v>
      </c>
      <c r="F26" s="75">
        <f>'Данные'!H10/($AB26+$AC26*('Данные'!H$4-AVERAGE(Periods)))</f>
        <v>1.0962507594982</v>
      </c>
      <c r="G26" s="75">
        <f>'Данные'!I10/($AB26+$AC26*('Данные'!I$4-AVERAGE(Periods)))</f>
        <v>0.961435476579615</v>
      </c>
      <c r="H26" s="75">
        <f>'Данные'!J10/($AB26+$AC26*('Данные'!J$4-AVERAGE(Periods)))</f>
        <v>0.943423057389538</v>
      </c>
      <c r="I26" s="75">
        <f>'Данные'!K10/($AB26+$AC26*('Данные'!K$4-AVERAGE(Periods)))</f>
        <v>0.94533698413222</v>
      </c>
      <c r="J26" s="75">
        <f>'Данные'!L10/($AB26+$AC26*('Данные'!L$4-AVERAGE(Periods)))</f>
        <v>1.05136534688495</v>
      </c>
      <c r="K26" s="75">
        <f>'Данные'!M10/($AB26+$AC26*('Данные'!M$4-AVERAGE(Periods)))</f>
        <v>0.962439988703756</v>
      </c>
      <c r="L26" s="75">
        <f>'Данные'!N10/($AB26+$AC26*('Данные'!N$4-AVERAGE(Periods)))</f>
        <v>1.0475694550801</v>
      </c>
      <c r="M26" s="75">
        <f>'Данные'!O10/($AB26+$AC26*('Данные'!O$4-AVERAGE(Periods)))</f>
        <v>0.898249813014211</v>
      </c>
      <c r="N26" s="75">
        <f>'Данные'!P10/($AB26+$AC26*('Данные'!P$4-AVERAGE(Periods)))</f>
        <v>0.953600561354267</v>
      </c>
      <c r="O26" s="75">
        <f>'Данные'!Q10/($AB26+$AC26*('Данные'!Q$4-AVERAGE(Periods)))</f>
        <v>1.0311883593951</v>
      </c>
      <c r="P26" s="75">
        <f>'Данные'!R10/($AB26+$AC26*('Данные'!R$4-AVERAGE(Periods)))</f>
        <v>1.03895522805448</v>
      </c>
      <c r="Q26" s="75">
        <f>'Данные'!S10/($AB26+$AC26*('Данные'!S$4-AVERAGE(Periods)))</f>
        <v>0.955743492897611</v>
      </c>
      <c r="R26" s="75">
        <f>'Данные'!T10/($AB26+$AC26*('Данные'!T$4-AVERAGE(Periods)))</f>
        <v>1.00334985930591</v>
      </c>
      <c r="S26" s="75">
        <f>'Данные'!U10/($AB26+$AC26*('Данные'!U$4-AVERAGE(Periods)))</f>
        <v>0.948835744099966</v>
      </c>
      <c r="T26" s="75">
        <f>'Данные'!V10/($AB26+$AC26*('Данные'!V$4-AVERAGE(Periods)))</f>
        <v>0.935401713359574</v>
      </c>
      <c r="U26" s="75">
        <f>'Данные'!W10/($AB26+$AC26*('Данные'!W$4-AVERAGE(Periods)))</f>
        <v>1.0641378092764</v>
      </c>
      <c r="V26" s="75">
        <f>'Данные'!X10/($AB26+$AC26*('Данные'!X$4-AVERAGE(Periods)))</f>
        <v>1.05434486852846</v>
      </c>
      <c r="W26" s="75">
        <f>'Данные'!Y10/($AB26+$AC26*('Данные'!Y$4-AVERAGE(Periods)))</f>
        <v>0.910374954495814</v>
      </c>
      <c r="X26" s="75">
        <f>'Данные'!Z10/($AB26+$AC26*('Данные'!Z$4-AVERAGE(Periods)))</f>
        <v>0.907224352714194</v>
      </c>
      <c r="Y26" s="75">
        <f>'Данные'!AA10/($AB26+$AC26*('Данные'!AA$4-AVERAGE(Periods)))</f>
        <v>0.924393723252496</v>
      </c>
      <c r="Z26" s="75">
        <f>'Данные'!AB10/($AB26+$AC26*('Данные'!AB$4-AVERAGE(Periods)))</f>
        <v>1.02363398332529</v>
      </c>
      <c r="AA26" s="75">
        <f>'Данные'!AC10/($AB26+$AC26*('Данные'!AC$4-AVERAGE(Periods)))</f>
        <v>1.21686937292687</v>
      </c>
      <c r="AB26" s="76">
        <f>AVERAGE('Данные'!$F10:$AC10)</f>
        <v>491.25</v>
      </c>
      <c r="AC26" s="77">
        <f>(SUM('Данные'!$R10:$AC10)-SUM('Данные'!$F10:$Q10))/144</f>
        <v>10.8055555555556</v>
      </c>
    </row>
    <row r="27" ht="17" customHeight="1">
      <c r="A27" s="60" t="str">
        <f>'Данные'!A11</f>
        <v>SYR-05</v>
      </c>
      <c r="B27" s="61" t="str">
        <f>'Данные'!B11</f>
        <v>Сироп «Ваниль», 1 л</v>
      </c>
      <c r="C27" s="62" t="str">
        <f>'Данные'!D11</f>
        <v>бут.</v>
      </c>
      <c r="D27" s="69">
        <f>'Данные'!F11/($AB27+$AC27*('Данные'!F$4-AVERAGE(Periods)))</f>
        <v>0.916224814422057</v>
      </c>
      <c r="E27" s="69">
        <f>'Данные'!G11/($AB27+$AC27*('Данные'!G$4-AVERAGE(Periods)))</f>
        <v>0.961011591148578</v>
      </c>
      <c r="F27" s="69">
        <f>'Данные'!H11/($AB27+$AC27*('Данные'!H$4-AVERAGE(Periods)))</f>
        <v>0.879581151832461</v>
      </c>
      <c r="G27" s="69">
        <f>'Данные'!I11/($AB27+$AC27*('Данные'!I$4-AVERAGE(Periods)))</f>
        <v>0.849115504682622</v>
      </c>
      <c r="H27" s="69">
        <f>'Данные'!J11/($AB27+$AC27*('Данные'!J$4-AVERAGE(Periods)))</f>
        <v>0.794208893485005</v>
      </c>
      <c r="I27" s="69">
        <f>'Данные'!K11/($AB27+$AC27*('Данные'!K$4-AVERAGE(Periods)))</f>
        <v>1.01130524152107</v>
      </c>
      <c r="J27" s="69">
        <f>'Данные'!L11/($AB27+$AC27*('Данные'!L$4-AVERAGE(Periods)))</f>
        <v>1.12768130745659</v>
      </c>
      <c r="K27" s="69">
        <f>'Данные'!M11/($AB27+$AC27*('Данные'!M$4-AVERAGE(Periods)))</f>
        <v>1.02335025380711</v>
      </c>
      <c r="L27" s="69">
        <f>'Данные'!N11/($AB27+$AC27*('Данные'!N$4-AVERAGE(Periods)))</f>
        <v>1.25933400605449</v>
      </c>
      <c r="M27" s="69">
        <f>'Данные'!O11/($AB27+$AC27*('Данные'!O$4-AVERAGE(Periods)))</f>
        <v>1.10732196589769</v>
      </c>
      <c r="N27" s="69">
        <f>'Данные'!P11/($AB27+$AC27*('Данные'!P$4-AVERAGE(Periods)))</f>
        <v>1.02891326021934</v>
      </c>
      <c r="O27" s="69">
        <f>'Данные'!Q11/($AB27+$AC27*('Данные'!Q$4-AVERAGE(Periods)))</f>
        <v>1.02279484638256</v>
      </c>
      <c r="P27" s="69">
        <f>'Данные'!R11/($AB27+$AC27*('Данные'!R$4-AVERAGE(Periods)))</f>
        <v>0.993103448275862</v>
      </c>
      <c r="Q27" s="69">
        <f>'Данные'!S11/($AB27+$AC27*('Данные'!S$4-AVERAGE(Periods)))</f>
        <v>1.03428011753183</v>
      </c>
      <c r="R27" s="69">
        <f>'Данные'!T11/($AB27+$AC27*('Данные'!T$4-AVERAGE(Periods)))</f>
        <v>0.888023369036027</v>
      </c>
      <c r="S27" s="69">
        <f>'Данные'!U11/($AB27+$AC27*('Данные'!U$4-AVERAGE(Periods)))</f>
        <v>0.720232333010649</v>
      </c>
      <c r="T27" s="69">
        <f>'Данные'!V11/($AB27+$AC27*('Данные'!V$4-AVERAGE(Periods)))</f>
        <v>0.970163618864293</v>
      </c>
      <c r="U27" s="69">
        <f>'Данные'!W11/($AB27+$AC27*('Данные'!W$4-AVERAGE(Periods)))</f>
        <v>0.91866028708134</v>
      </c>
      <c r="V27" s="69">
        <f>'Данные'!X11/($AB27+$AC27*('Данные'!X$4-AVERAGE(Periods)))</f>
        <v>1.00475737392959</v>
      </c>
      <c r="W27" s="69">
        <f>'Данные'!Y11/($AB27+$AC27*('Данные'!Y$4-AVERAGE(Periods)))</f>
        <v>1.24881740775781</v>
      </c>
      <c r="X27" s="69">
        <f>'Данные'!Z11/($AB27+$AC27*('Данные'!Z$4-AVERAGE(Periods)))</f>
        <v>0.925682031984948</v>
      </c>
      <c r="Y27" s="69">
        <f>'Данные'!AA11/($AB27+$AC27*('Данные'!AA$4-AVERAGE(Periods)))</f>
        <v>1.14499532273152</v>
      </c>
      <c r="Z27" s="69">
        <f>'Данные'!AB11/($AB27+$AC27*('Данные'!AB$4-AVERAGE(Periods)))</f>
        <v>1.13860465116279</v>
      </c>
      <c r="AA27" s="69">
        <f>'Данные'!AC11/($AB27+$AC27*('Данные'!AC$4-AVERAGE(Periods)))</f>
        <v>0.999074930619797</v>
      </c>
      <c r="AB27" s="70">
        <f>AVERAGE('Данные'!$F11:$AC11)</f>
        <v>42.1666666666667</v>
      </c>
      <c r="AC27" s="71">
        <f>(SUM('Данные'!$R11:$AC11)-SUM('Данные'!$F11:$Q11))/144</f>
        <v>0.25</v>
      </c>
    </row>
    <row r="28" ht="17" customHeight="1">
      <c r="A28" s="72" t="str">
        <f>'Данные'!A12</f>
        <v>SYR-06</v>
      </c>
      <c r="B28" s="73" t="str">
        <f>'Данные'!B12</f>
        <v>Сироп «Тыквенный пряный», 1 л</v>
      </c>
      <c r="C28" s="74" t="str">
        <f>'Данные'!D12</f>
        <v>бут.</v>
      </c>
      <c r="D28" s="75">
        <f>'Данные'!F12/($AB28+$AC28*('Данные'!F$4-AVERAGE(Periods)))</f>
        <v>3.78822755672476</v>
      </c>
      <c r="E28" s="75">
        <f>'Данные'!G12/($AB28+$AC28*('Данные'!G$4-AVERAGE(Periods)))</f>
        <v>2.99707317073171</v>
      </c>
      <c r="F28" s="75">
        <f>'Данные'!H12/($AB28+$AC28*('Данные'!H$4-AVERAGE(Periods)))</f>
        <v>2.22322290125442</v>
      </c>
      <c r="G28" s="75">
        <f>'Данные'!I12/($AB28+$AC28*('Данные'!I$4-AVERAGE(Periods)))</f>
        <v>0.458160992682151</v>
      </c>
      <c r="H28" s="75">
        <f>'Данные'!J12/($AB28+$AC28*('Данные'!J$4-AVERAGE(Periods)))</f>
        <v>0.226628895184136</v>
      </c>
      <c r="I28" s="75">
        <f>'Данные'!K12/($AB28+$AC28*('Данные'!K$4-AVERAGE(Periods)))</f>
        <v>0.179383369666771</v>
      </c>
      <c r="J28" s="75">
        <f>'Данные'!L12/($AB28+$AC28*('Данные'!L$4-AVERAGE(Periods)))</f>
        <v>0.0887519260400616</v>
      </c>
      <c r="K28" s="75">
        <f>'Данные'!M12/($AB28+$AC28*('Данные'!M$4-AVERAGE(Periods)))</f>
        <v>0.131747483989021</v>
      </c>
      <c r="L28" s="75">
        <f>'Данные'!N12/($AB28+$AC28*('Данные'!N$4-AVERAGE(Periods)))</f>
        <v>0.0869302746755207</v>
      </c>
      <c r="M28" s="75">
        <f>'Данные'!O12/($AB28+$AC28*('Данные'!O$4-AVERAGE(Periods)))</f>
        <v>0.129070809680311</v>
      </c>
      <c r="N28" s="75">
        <f>'Данные'!P12/($AB28+$AC28*('Данные'!P$4-AVERAGE(Periods)))</f>
        <v>0.298136645962733</v>
      </c>
      <c r="O28" s="75">
        <f>'Данные'!Q12/($AB28+$AC28*('Данные'!Q$4-AVERAGE(Periods)))</f>
        <v>1.72884333821376</v>
      </c>
      <c r="P28" s="75">
        <f>'Данные'!R12/($AB28+$AC28*('Данные'!R$4-AVERAGE(Periods)))</f>
        <v>3.59060597274572</v>
      </c>
      <c r="Q28" s="75">
        <f>'Данные'!S12/($AB28+$AC28*('Данные'!S$4-AVERAGE(Periods)))</f>
        <v>2.56330749354005</v>
      </c>
      <c r="R28" s="75">
        <f>'Данные'!T12/($AB28+$AC28*('Данные'!T$4-AVERAGE(Periods)))</f>
        <v>2.29286323571225</v>
      </c>
      <c r="S28" s="75">
        <f>'Данные'!U12/($AB28+$AC28*('Данные'!U$4-AVERAGE(Periods)))</f>
        <v>0.527175443537032</v>
      </c>
      <c r="T28" s="75">
        <f>'Данные'!V12/($AB28+$AC28*('Данные'!V$4-AVERAGE(Periods)))</f>
        <v>0.200836820083682</v>
      </c>
      <c r="U28" s="75">
        <f>'Данные'!W12/($AB28+$AC28*('Данные'!W$4-AVERAGE(Periods)))</f>
        <v>0.159159988947223</v>
      </c>
      <c r="V28" s="75">
        <f>'Данные'!X12/($AB28+$AC28*('Данные'!X$4-AVERAGE(Periods)))</f>
        <v>0.0788393101560361</v>
      </c>
      <c r="W28" s="75">
        <f>'Данные'!Y12/($AB28+$AC28*('Данные'!Y$4-AVERAGE(Periods)))</f>
        <v>0.0781122864117168</v>
      </c>
      <c r="X28" s="75">
        <f>'Данные'!Z12/($AB28+$AC28*('Данные'!Z$4-AVERAGE(Periods)))</f>
        <v>0.116097823165816</v>
      </c>
      <c r="Y28" s="75">
        <f>'Данные'!AA12/($AB28+$AC28*('Данные'!AA$4-AVERAGE(Periods)))</f>
        <v>0.115046604527297</v>
      </c>
      <c r="Z28" s="75">
        <f>'Данные'!AB12/($AB28+$AC28*('Данные'!AB$4-AVERAGE(Periods)))</f>
        <v>0.418052256532067</v>
      </c>
      <c r="AA28" s="75">
        <f>'Данные'!AC12/($AB28+$AC28*('Данные'!AC$4-AVERAGE(Periods)))</f>
        <v>2.10933821606069</v>
      </c>
      <c r="AB28" s="76">
        <f>AVERAGE('Данные'!$F12:$AC12)</f>
        <v>23.8333333333333</v>
      </c>
      <c r="AC28" s="77">
        <f>(SUM('Данные'!$R12:$AC12)-SUM('Данные'!$F12:$Q12))/144</f>
        <v>0.236111111111111</v>
      </c>
    </row>
    <row r="29" ht="17" customHeight="1">
      <c r="A29" s="60" t="str">
        <f>'Данные'!A13</f>
        <v>CUP-07</v>
      </c>
      <c r="B29" s="61" t="str">
        <f>'Данные'!B13</f>
        <v>Стакан бумажный 300 мл</v>
      </c>
      <c r="C29" s="62" t="str">
        <f>'Данные'!D13</f>
        <v>шт.</v>
      </c>
      <c r="D29" s="69">
        <f>'Данные'!F13/($AB29+$AC29*('Данные'!F$4-AVERAGE(Periods)))</f>
        <v>0.907076280794564</v>
      </c>
      <c r="E29" s="69">
        <f>'Данные'!G13/($AB29+$AC29*('Данные'!G$4-AVERAGE(Periods)))</f>
        <v>0.925682177303344</v>
      </c>
      <c r="F29" s="69">
        <f>'Данные'!H13/($AB29+$AC29*('Данные'!H$4-AVERAGE(Periods)))</f>
        <v>0.944026901881328</v>
      </c>
      <c r="G29" s="69">
        <f>'Данные'!I13/($AB29+$AC29*('Данные'!I$4-AVERAGE(Periods)))</f>
        <v>0.838464451813998</v>
      </c>
      <c r="H29" s="69">
        <f>'Данные'!J13/($AB29+$AC29*('Данные'!J$4-AVERAGE(Periods)))</f>
        <v>0.854146236679649</v>
      </c>
      <c r="I29" s="69">
        <f>'Данные'!K13/($AB29+$AC29*('Данные'!K$4-AVERAGE(Periods)))</f>
        <v>0.940223355297939</v>
      </c>
      <c r="J29" s="69">
        <f>'Данные'!L13/($AB29+$AC29*('Данные'!L$4-AVERAGE(Periods)))</f>
        <v>0.960191097357482</v>
      </c>
      <c r="K29" s="69">
        <f>'Данные'!M13/($AB29+$AC29*('Данные'!M$4-AVERAGE(Periods)))</f>
        <v>1.09289881069022</v>
      </c>
      <c r="L29" s="69">
        <f>'Данные'!N13/($AB29+$AC29*('Данные'!N$4-AVERAGE(Periods)))</f>
        <v>1.17508236368102</v>
      </c>
      <c r="M29" s="69">
        <f>'Данные'!O13/($AB29+$AC29*('Данные'!O$4-AVERAGE(Periods)))</f>
        <v>1.1712461629762</v>
      </c>
      <c r="N29" s="69">
        <f>'Данные'!P13/($AB29+$AC29*('Данные'!P$4-AVERAGE(Periods)))</f>
        <v>1.2005225152035</v>
      </c>
      <c r="O29" s="69">
        <f>'Данные'!Q13/($AB29+$AC29*('Данные'!Q$4-AVERAGE(Periods)))</f>
        <v>0.953025816274677</v>
      </c>
      <c r="P29" s="69">
        <f>'Данные'!R13/($AB29+$AC29*('Данные'!R$4-AVERAGE(Periods)))</f>
        <v>0.898054021545614</v>
      </c>
      <c r="Q29" s="69">
        <f>'Данные'!S13/($AB29+$AC29*('Данные'!S$4-AVERAGE(Periods)))</f>
        <v>0.756182002228668</v>
      </c>
      <c r="R29" s="69">
        <f>'Данные'!T13/($AB29+$AC29*('Данные'!T$4-AVERAGE(Periods)))</f>
        <v>0.874026337437776</v>
      </c>
      <c r="S29" s="69">
        <f>'Данные'!U13/($AB29+$AC29*('Данные'!U$4-AVERAGE(Periods)))</f>
        <v>0.82202551800134</v>
      </c>
      <c r="T29" s="69">
        <f>'Данные'!V13/($AB29+$AC29*('Данные'!V$4-AVERAGE(Periods)))</f>
        <v>0.855946228002302</v>
      </c>
      <c r="U29" s="69">
        <f>'Данные'!W13/($AB29+$AC29*('Данные'!W$4-AVERAGE(Periods)))</f>
        <v>1.03577626764245</v>
      </c>
      <c r="V29" s="69">
        <f>'Данные'!X13/($AB29+$AC29*('Данные'!X$4-AVERAGE(Periods)))</f>
        <v>1.02664388933965</v>
      </c>
      <c r="W29" s="69">
        <f>'Данные'!Y13/($AB29+$AC29*('Данные'!Y$4-AVERAGE(Periods)))</f>
        <v>1.03431830407682</v>
      </c>
      <c r="X29" s="69">
        <f>'Данные'!Z13/($AB29+$AC29*('Данные'!Z$4-AVERAGE(Periods)))</f>
        <v>1.30161308712049</v>
      </c>
      <c r="Y29" s="69">
        <f>'Данные'!AA13/($AB29+$AC29*('Данные'!AA$4-AVERAGE(Periods)))</f>
        <v>1.14325446901225</v>
      </c>
      <c r="Z29" s="69">
        <f>'Данные'!AB13/($AB29+$AC29*('Данные'!AB$4-AVERAGE(Periods)))</f>
        <v>1.17352493264087</v>
      </c>
      <c r="AA29" s="69">
        <f>'Данные'!AC13/($AB29+$AC29*('Данные'!AC$4-AVERAGE(Periods)))</f>
        <v>1.0310648203486</v>
      </c>
      <c r="AB29" s="70">
        <f>AVERAGE('Данные'!$F13:$AC13)</f>
        <v>14476.4166666667</v>
      </c>
      <c r="AC29" s="71">
        <f>(SUM('Данные'!$R13:$AC13)-SUM('Данные'!$F13:$Q13))/144</f>
        <v>145.638888888889</v>
      </c>
    </row>
    <row r="30" ht="17" customHeight="1">
      <c r="A30" s="72" t="str">
        <f>'Данные'!A14</f>
        <v>LID-08</v>
      </c>
      <c r="B30" s="73" t="str">
        <f>'Данные'!B14</f>
        <v>Крышка для стакана Ø 90 мм</v>
      </c>
      <c r="C30" s="74" t="str">
        <f>'Данные'!D14</f>
        <v>шт.</v>
      </c>
      <c r="D30" s="75">
        <f>'Данные'!F14/($AB30+$AC30*('Данные'!F$4-AVERAGE(Periods)))</f>
        <v>0.878506732198573</v>
      </c>
      <c r="E30" s="75">
        <f>'Данные'!G14/($AB30+$AC30*('Данные'!G$4-AVERAGE(Periods)))</f>
        <v>0.900615950749786</v>
      </c>
      <c r="F30" s="75">
        <f>'Данные'!H14/($AB30+$AC30*('Данные'!H$4-AVERAGE(Periods)))</f>
        <v>0.874988713438888</v>
      </c>
      <c r="G30" s="75">
        <f>'Данные'!I14/($AB30+$AC30*('Данные'!I$4-AVERAGE(Periods)))</f>
        <v>0.824335550594536</v>
      </c>
      <c r="H30" s="75">
        <f>'Данные'!J14/($AB30+$AC30*('Данные'!J$4-AVERAGE(Periods)))</f>
        <v>0.812564215470424</v>
      </c>
      <c r="I30" s="75">
        <f>'Данные'!K14/($AB30+$AC30*('Данные'!K$4-AVERAGE(Periods)))</f>
        <v>0.980803417366566</v>
      </c>
      <c r="J30" s="75">
        <f>'Данные'!L14/($AB30+$AC30*('Данные'!L$4-AVERAGE(Periods)))</f>
        <v>0.955568486169913</v>
      </c>
      <c r="K30" s="75">
        <f>'Данные'!M14/($AB30+$AC30*('Данные'!M$4-AVERAGE(Periods)))</f>
        <v>1.00261812010645</v>
      </c>
      <c r="L30" s="75">
        <f>'Данные'!N14/($AB30+$AC30*('Данные'!N$4-AVERAGE(Periods)))</f>
        <v>1.26146667000155</v>
      </c>
      <c r="M30" s="75">
        <f>'Данные'!O14/($AB30+$AC30*('Данные'!O$4-AVERAGE(Periods)))</f>
        <v>1.18889959096236</v>
      </c>
      <c r="N30" s="75">
        <f>'Данные'!P14/($AB30+$AC30*('Данные'!P$4-AVERAGE(Periods)))</f>
        <v>1.15904101300508</v>
      </c>
      <c r="O30" s="75">
        <f>'Данные'!Q14/($AB30+$AC30*('Данные'!Q$4-AVERAGE(Periods)))</f>
        <v>1.12293007401179</v>
      </c>
      <c r="P30" s="75">
        <f>'Данные'!R14/($AB30+$AC30*('Данные'!R$4-AVERAGE(Periods)))</f>
        <v>0.976486538065933</v>
      </c>
      <c r="Q30" s="75">
        <f>'Данные'!S14/($AB30+$AC30*('Данные'!S$4-AVERAGE(Periods)))</f>
        <v>0.871829170523854</v>
      </c>
      <c r="R30" s="75">
        <f>'Данные'!T14/($AB30+$AC30*('Данные'!T$4-AVERAGE(Periods)))</f>
        <v>0.912627346276815</v>
      </c>
      <c r="S30" s="75">
        <f>'Данные'!U14/($AB30+$AC30*('Данные'!U$4-AVERAGE(Periods)))</f>
        <v>0.777971260321787</v>
      </c>
      <c r="T30" s="75">
        <f>'Данные'!V14/($AB30+$AC30*('Данные'!V$4-AVERAGE(Periods)))</f>
        <v>0.879421512329575</v>
      </c>
      <c r="U30" s="75">
        <f>'Данные'!W14/($AB30+$AC30*('Данные'!W$4-AVERAGE(Periods)))</f>
        <v>0.979526692613333</v>
      </c>
      <c r="V30" s="75">
        <f>'Данные'!X14/($AB30+$AC30*('Данные'!X$4-AVERAGE(Periods)))</f>
        <v>1.04526948793468</v>
      </c>
      <c r="W30" s="75">
        <f>'Данные'!Y14/($AB30+$AC30*('Данные'!Y$4-AVERAGE(Periods)))</f>
        <v>1.09516037478112</v>
      </c>
      <c r="X30" s="75">
        <f>'Данные'!Z14/($AB30+$AC30*('Данные'!Z$4-AVERAGE(Periods)))</f>
        <v>0.983963975531929</v>
      </c>
      <c r="Y30" s="75">
        <f>'Данные'!AA14/($AB30+$AC30*('Данные'!AA$4-AVERAGE(Periods)))</f>
        <v>1.2624176789861</v>
      </c>
      <c r="Z30" s="75">
        <f>'Данные'!AB14/($AB30+$AC30*('Данные'!AB$4-AVERAGE(Periods)))</f>
        <v>1.1764911477729</v>
      </c>
      <c r="AA30" s="75">
        <f>'Данные'!AC14/($AB30+$AC30*('Данные'!AC$4-AVERAGE(Periods)))</f>
        <v>1.01335197175214</v>
      </c>
      <c r="AB30" s="76">
        <f>AVERAGE('Данные'!$F14:$AC14)</f>
        <v>13958.8333333333</v>
      </c>
      <c r="AC30" s="77">
        <f>(SUM('Данные'!$R14:$AC14)-SUM('Данные'!$F14:$Q14))/144</f>
        <v>101.152777777778</v>
      </c>
    </row>
    <row r="31" ht="17" customHeight="1">
      <c r="A31" s="60" t="str">
        <f>'Данные'!A15</f>
        <v>CRS-09</v>
      </c>
      <c r="B31" s="61" t="str">
        <f>'Данные'!B15</f>
        <v>Круассан сливочный, заморозка</v>
      </c>
      <c r="C31" s="62" t="str">
        <f>'Данные'!D15</f>
        <v>шт.</v>
      </c>
      <c r="D31" s="69">
        <f>'Данные'!F15/($AB31+$AC31*('Данные'!F$4-AVERAGE(Periods)))</f>
        <v>1.10930576715719</v>
      </c>
      <c r="E31" s="69">
        <f>'Данные'!G15/($AB31+$AC31*('Данные'!G$4-AVERAGE(Periods)))</f>
        <v>1.10065633157993</v>
      </c>
      <c r="F31" s="69">
        <f>'Данные'!H15/($AB31+$AC31*('Данные'!H$4-AVERAGE(Periods)))</f>
        <v>1.13669742614484</v>
      </c>
      <c r="G31" s="69">
        <f>'Данные'!I15/($AB31+$AC31*('Данные'!I$4-AVERAGE(Periods)))</f>
        <v>0.875932751568743</v>
      </c>
      <c r="H31" s="69">
        <f>'Данные'!J15/($AB31+$AC31*('Данные'!J$4-AVERAGE(Periods)))</f>
        <v>0.913544212242732</v>
      </c>
      <c r="I31" s="69">
        <f>'Данные'!K15/($AB31+$AC31*('Данные'!K$4-AVERAGE(Periods)))</f>
        <v>1.04094070348335</v>
      </c>
      <c r="J31" s="69">
        <f>'Данные'!L15/($AB31+$AC31*('Данные'!L$4-AVERAGE(Periods)))</f>
        <v>1.01493119275776</v>
      </c>
      <c r="K31" s="69">
        <f>'Данные'!M15/($AB31+$AC31*('Данные'!M$4-AVERAGE(Periods)))</f>
        <v>0.986946160821612</v>
      </c>
      <c r="L31" s="69">
        <f>'Данные'!N15/($AB31+$AC31*('Данные'!N$4-AVERAGE(Periods)))</f>
        <v>0.937067927015081</v>
      </c>
      <c r="M31" s="69">
        <f>'Данные'!O15/($AB31+$AC31*('Данные'!O$4-AVERAGE(Periods)))</f>
        <v>0.917343047032629</v>
      </c>
      <c r="N31" s="69">
        <f>'Данные'!P15/($AB31+$AC31*('Данные'!P$4-AVERAGE(Periods)))</f>
        <v>0.929535656230122</v>
      </c>
      <c r="O31" s="69">
        <f>'Данные'!Q15/($AB31+$AC31*('Данные'!Q$4-AVERAGE(Periods)))</f>
        <v>1.04508873340257</v>
      </c>
      <c r="P31" s="69">
        <f>'Данные'!R15/($AB31+$AC31*('Данные'!R$4-AVERAGE(Periods)))</f>
        <v>1.06960980129723</v>
      </c>
      <c r="Q31" s="69">
        <f>'Данные'!S15/($AB31+$AC31*('Данные'!S$4-AVERAGE(Periods)))</f>
        <v>1.12636337925409</v>
      </c>
      <c r="R31" s="69">
        <f>'Данные'!T15/($AB31+$AC31*('Данные'!T$4-AVERAGE(Periods)))</f>
        <v>1.08584879873693</v>
      </c>
      <c r="S31" s="69">
        <f>'Данные'!U15/($AB31+$AC31*('Данные'!U$4-AVERAGE(Periods)))</f>
        <v>0.972033963689227</v>
      </c>
      <c r="T31" s="69">
        <f>'Данные'!V15/($AB31+$AC31*('Данные'!V$4-AVERAGE(Periods)))</f>
        <v>1.00516957750122</v>
      </c>
      <c r="U31" s="69">
        <f>'Данные'!W15/($AB31+$AC31*('Данные'!W$4-AVERAGE(Periods)))</f>
        <v>1.01810866810163</v>
      </c>
      <c r="V31" s="69">
        <f>'Данные'!X15/($AB31+$AC31*('Данные'!X$4-AVERAGE(Periods)))</f>
        <v>0.978642456377828</v>
      </c>
      <c r="W31" s="69">
        <f>'Данные'!Y15/($AB31+$AC31*('Данные'!Y$4-AVERAGE(Periods)))</f>
        <v>0.990053698070936</v>
      </c>
      <c r="X31" s="69">
        <f>'Данные'!Z15/($AB31+$AC31*('Данные'!Z$4-AVERAGE(Periods)))</f>
        <v>0.962502926668598</v>
      </c>
      <c r="Y31" s="69">
        <f>'Данные'!AA15/($AB31+$AC31*('Данные'!AA$4-AVERAGE(Periods)))</f>
        <v>0.844942896985451</v>
      </c>
      <c r="Z31" s="69">
        <f>'Данные'!AB15/($AB31+$AC31*('Данные'!AB$4-AVERAGE(Periods)))</f>
        <v>0.923625066362546</v>
      </c>
      <c r="AA31" s="69">
        <f>'Данные'!AC15/($AB31+$AC31*('Данные'!AC$4-AVERAGE(Periods)))</f>
        <v>1.03241971413023</v>
      </c>
      <c r="AB31" s="70">
        <f>AVERAGE('Данные'!$F15:$AC15)</f>
        <v>5046.91666666667</v>
      </c>
      <c r="AC31" s="71">
        <f>(SUM('Данные'!$R15:$AC15)-SUM('Данные'!$F15:$Q15))/144</f>
        <v>23.875</v>
      </c>
    </row>
    <row r="32" ht="17" customHeight="1">
      <c r="A32" s="72" t="str">
        <f>'Данные'!A16</f>
        <v>TEA-10</v>
      </c>
      <c r="B32" s="73" t="str">
        <f>'Данные'!B16</f>
        <v>Чай зелёный «Сенча», 500 г</v>
      </c>
      <c r="C32" s="74" t="str">
        <f>'Данные'!D16</f>
        <v>уп.</v>
      </c>
      <c r="D32" s="75">
        <f>'Данные'!F16/($AB32+$AC32*('Данные'!F$4-AVERAGE(Periods)))</f>
        <v>1.20401337792642</v>
      </c>
      <c r="E32" s="75">
        <f>'Данные'!G16/($AB32+$AC32*('Данные'!G$4-AVERAGE(Periods)))</f>
        <v>1.37278106508876</v>
      </c>
      <c r="F32" s="75">
        <f>'Данные'!H16/($AB32+$AC32*('Данные'!H$4-AVERAGE(Periods)))</f>
        <v>1.349709114415</v>
      </c>
      <c r="G32" s="75">
        <f>'Данные'!I16/($AB32+$AC32*('Данные'!I$4-AVERAGE(Periods)))</f>
        <v>1.32739987285442</v>
      </c>
      <c r="H32" s="75">
        <f>'Данные'!J16/($AB32+$AC32*('Данные'!J$4-AVERAGE(Periods)))</f>
        <v>1.21575984990619</v>
      </c>
      <c r="I32" s="75">
        <f>'Данные'!K16/($AB32+$AC32*('Данные'!K$4-AVERAGE(Periods)))</f>
        <v>1.10769230769231</v>
      </c>
      <c r="J32" s="75">
        <f>'Данные'!L16/($AB32+$AC32*('Данные'!L$4-AVERAGE(Periods)))</f>
        <v>0.959418534221684</v>
      </c>
      <c r="K32" s="75">
        <f>'Данные'!M16/($AB32+$AC32*('Данные'!M$4-AVERAGE(Periods)))</f>
        <v>0.772808586762075</v>
      </c>
      <c r="L32" s="75">
        <f>'Данные'!N16/($AB32+$AC32*('Данные'!N$4-AVERAGE(Periods)))</f>
        <v>0.71873165002936</v>
      </c>
      <c r="M32" s="75">
        <f>'Данные'!O16/($AB32+$AC32*('Данные'!O$4-AVERAGE(Periods)))</f>
        <v>0.624638519375362</v>
      </c>
      <c r="N32" s="75">
        <f>'Данные'!P16/($AB32+$AC32*('Данные'!P$4-AVERAGE(Periods)))</f>
        <v>0.656410256410256</v>
      </c>
      <c r="O32" s="75">
        <f>'Данные'!Q16/($AB32+$AC32*('Данные'!Q$4-AVERAGE(Periods)))</f>
        <v>0.848961257720382</v>
      </c>
      <c r="P32" s="75">
        <f>'Данные'!R16/($AB32+$AC32*('Данные'!R$4-AVERAGE(Periods)))</f>
        <v>0.996126175982291</v>
      </c>
      <c r="Q32" s="75">
        <f>'Данные'!S16/($AB32+$AC32*('Данные'!S$4-AVERAGE(Periods)))</f>
        <v>1.2176759410802</v>
      </c>
      <c r="R32" s="75">
        <f>'Данные'!T16/($AB32+$AC32*('Данные'!T$4-AVERAGE(Periods)))</f>
        <v>1.27810650887574</v>
      </c>
      <c r="S32" s="75">
        <f>'Данные'!U16/($AB32+$AC32*('Данные'!U$4-AVERAGE(Periods)))</f>
        <v>1.48965517241379</v>
      </c>
      <c r="T32" s="75">
        <f>'Данные'!V16/($AB32+$AC32*('Данные'!V$4-AVERAGE(Periods)))</f>
        <v>1.39403453689168</v>
      </c>
      <c r="U32" s="75">
        <f>'Данные'!W16/($AB32+$AC32*('Данные'!W$4-AVERAGE(Periods)))</f>
        <v>1.18946824987093</v>
      </c>
      <c r="V32" s="75">
        <f>'Данные'!X16/($AB32+$AC32*('Данные'!X$4-AVERAGE(Periods)))</f>
        <v>1.06367804381049</v>
      </c>
      <c r="W32" s="75">
        <f>'Данные'!Y16/($AB32+$AC32*('Данные'!Y$4-AVERAGE(Periods)))</f>
        <v>0.65158371040724</v>
      </c>
      <c r="X32" s="75">
        <f>'Данные'!Z16/($AB32+$AC32*('Данные'!Z$4-AVERAGE(Periods)))</f>
        <v>0.64317617866005</v>
      </c>
      <c r="Y32" s="75">
        <f>'Данные'!AA16/($AB32+$AC32*('Данные'!AA$4-AVERAGE(Periods)))</f>
        <v>0.599706026457619</v>
      </c>
      <c r="Z32" s="75">
        <f>'Данные'!AB16/($AB32+$AC32*('Данные'!AB$4-AVERAGE(Periods)))</f>
        <v>0.62699564586357</v>
      </c>
      <c r="AA32" s="75">
        <f>'Данные'!AC16/($AB32+$AC32*('Данные'!AC$4-AVERAGE(Periods)))</f>
        <v>0.963210702341137</v>
      </c>
      <c r="AB32" s="76">
        <f>AVERAGE('Данные'!$F16:$AC16)</f>
        <v>24.9166666666667</v>
      </c>
      <c r="AC32" s="77">
        <f>(SUM('Данные'!$R16:$AC16)-SUM('Данные'!$F16:$Q16))/144</f>
        <v>0.361111111111111</v>
      </c>
    </row>
    <row r="33" ht="17" customHeight="1">
      <c r="A33" s="60" t="str">
        <f>'Данные'!A17</f>
        <v>ICE-11</v>
      </c>
      <c r="B33" s="61" t="str">
        <f>'Данные'!B17</f>
        <v>Лёд пищевой, кубики</v>
      </c>
      <c r="C33" s="62" t="str">
        <f>'Данные'!D17</f>
        <v>кг</v>
      </c>
      <c r="D33" s="69">
        <f>'Данные'!F17/($AB33+$AC33*('Данные'!F$4-AVERAGE(Periods)))</f>
        <v>0.721748852989937</v>
      </c>
      <c r="E33" s="69">
        <f>'Данные'!G17/($AB33+$AC33*('Данные'!G$4-AVERAGE(Periods)))</f>
        <v>0.434459350250525</v>
      </c>
      <c r="F33" s="69">
        <f>'Данные'!H17/($AB33+$AC33*('Данные'!H$4-AVERAGE(Periods)))</f>
        <v>0.382763945332606</v>
      </c>
      <c r="G33" s="69">
        <f>'Данные'!I17/($AB33+$AC33*('Данные'!I$4-AVERAGE(Periods)))</f>
        <v>0.298134359831609</v>
      </c>
      <c r="H33" s="69">
        <f>'Данные'!J17/($AB33+$AC33*('Данные'!J$4-AVERAGE(Periods)))</f>
        <v>0.324033891299855</v>
      </c>
      <c r="I33" s="69">
        <f>'Данные'!K17/($AB33+$AC33*('Данные'!K$4-AVERAGE(Periods)))</f>
        <v>0.53685778677566</v>
      </c>
      <c r="J33" s="69">
        <f>'Данные'!L17/($AB33+$AC33*('Данные'!L$4-AVERAGE(Periods)))</f>
        <v>0.768661781190663</v>
      </c>
      <c r="K33" s="69">
        <f>'Данные'!M17/($AB33+$AC33*('Данные'!M$4-AVERAGE(Periods)))</f>
        <v>1.15086886032014</v>
      </c>
      <c r="L33" s="69">
        <f>'Данные'!N17/($AB33+$AC33*('Данные'!N$4-AVERAGE(Periods)))</f>
        <v>1.88614278876471</v>
      </c>
      <c r="M33" s="69">
        <f>'Данные'!O17/($AB33+$AC33*('Данные'!O$4-AVERAGE(Periods)))</f>
        <v>2.29765741716782</v>
      </c>
      <c r="N33" s="69">
        <f>'Данные'!P17/($AB33+$AC33*('Данные'!P$4-AVERAGE(Periods)))</f>
        <v>2.1234018394459</v>
      </c>
      <c r="O33" s="69">
        <f>'Данные'!Q17/($AB33+$AC33*('Данные'!Q$4-AVERAGE(Periods)))</f>
        <v>1.03582249692097</v>
      </c>
      <c r="P33" s="69">
        <f>'Данные'!R17/($AB33+$AC33*('Данные'!R$4-AVERAGE(Periods)))</f>
        <v>0.586473991055065</v>
      </c>
      <c r="Q33" s="69">
        <f>'Данные'!S17/($AB33+$AC33*('Данные'!S$4-AVERAGE(Periods)))</f>
        <v>0.424961040720916</v>
      </c>
      <c r="R33" s="69">
        <f>'Данные'!T17/($AB33+$AC33*('Данные'!T$4-AVERAGE(Periods)))</f>
        <v>0.393889068406063</v>
      </c>
      <c r="S33" s="69">
        <f>'Данные'!U17/($AB33+$AC33*('Данные'!U$4-AVERAGE(Periods)))</f>
        <v>0.317563665003938</v>
      </c>
      <c r="T33" s="69">
        <f>'Данные'!V17/($AB33+$AC33*('Данные'!V$4-AVERAGE(Periods)))</f>
        <v>0.424807385610638</v>
      </c>
      <c r="U33" s="69">
        <f>'Данные'!W17/($AB33+$AC33*('Данные'!W$4-AVERAGE(Periods)))</f>
        <v>0.669422043513031</v>
      </c>
      <c r="V33" s="69">
        <f>'Данные'!X17/($AB33+$AC33*('Данные'!X$4-AVERAGE(Periods)))</f>
        <v>0.90455905282712</v>
      </c>
      <c r="W33" s="69">
        <f>'Данные'!Y17/($AB33+$AC33*('Данные'!Y$4-AVERAGE(Periods)))</f>
        <v>1.22463751926901</v>
      </c>
      <c r="X33" s="69">
        <f>'Данные'!Z17/($AB33+$AC33*('Данные'!Z$4-AVERAGE(Periods)))</f>
        <v>2.07664002973425</v>
      </c>
      <c r="Y33" s="69">
        <f>'Данные'!AA17/($AB33+$AC33*('Данные'!AA$4-AVERAGE(Periods)))</f>
        <v>2.00025228728101</v>
      </c>
      <c r="Z33" s="69">
        <f>'Данные'!AB17/($AB33+$AC33*('Данные'!AB$4-AVERAGE(Periods)))</f>
        <v>1.73428438104126</v>
      </c>
      <c r="AA33" s="69">
        <f>'Данные'!AC17/($AB33+$AC33*('Данные'!AC$4-AVERAGE(Periods)))</f>
        <v>1.20522583936533</v>
      </c>
      <c r="AB33" s="70">
        <f>AVERAGE('Данные'!$F17:$AC17)</f>
        <v>459.958333333333</v>
      </c>
      <c r="AC33" s="71">
        <f>(SUM('Данные'!$R17:$AC17)-SUM('Данные'!$F17:$Q17))/144</f>
        <v>0.840277777777778</v>
      </c>
    </row>
    <row r="34" ht="17" customHeight="1">
      <c r="A34" s="72" t="str">
        <f>'Данные'!A18</f>
        <v>CHO-12</v>
      </c>
      <c r="B34" s="73" t="str">
        <f>'Данные'!B18</f>
        <v>Шоколад для горячего шоколада</v>
      </c>
      <c r="C34" s="74" t="str">
        <f>'Данные'!D18</f>
        <v>кг</v>
      </c>
      <c r="D34" s="75">
        <f>'Данные'!F18/($AB34+$AC34*('Данные'!F$4-AVERAGE(Periods)))</f>
        <v>1.27472527472527</v>
      </c>
      <c r="E34" s="75">
        <f>'Данные'!G18/($AB34+$AC34*('Данные'!G$4-AVERAGE(Periods)))</f>
        <v>1.39636363636364</v>
      </c>
      <c r="F34" s="75">
        <f>'Данные'!H18/($AB34+$AC34*('Данные'!H$4-AVERAGE(Periods)))</f>
        <v>1.42960288808664</v>
      </c>
      <c r="G34" s="75">
        <f>'Данные'!I18/($AB34+$AC34*('Данные'!I$4-AVERAGE(Periods)))</f>
        <v>1.46236559139785</v>
      </c>
      <c r="H34" s="75">
        <f>'Данные'!J18/($AB34+$AC34*('Данные'!J$4-AVERAGE(Periods)))</f>
        <v>1.49466192170819</v>
      </c>
      <c r="I34" s="75">
        <f>'Данные'!K18/($AB34+$AC34*('Данные'!K$4-AVERAGE(Periods)))</f>
        <v>1.18727915194346</v>
      </c>
      <c r="J34" s="75">
        <f>'Данные'!L18/($AB34+$AC34*('Данные'!L$4-AVERAGE(Periods)))</f>
        <v>0.926315789473684</v>
      </c>
      <c r="K34" s="75">
        <f>'Данные'!M18/($AB34+$AC34*('Данные'!M$4-AVERAGE(Periods)))</f>
        <v>0.710801393728223</v>
      </c>
      <c r="L34" s="75">
        <f>'Данные'!N18/($AB34+$AC34*('Данные'!N$4-AVERAGE(Periods)))</f>
        <v>0.456747404844291</v>
      </c>
      <c r="M34" s="75">
        <f>'Данные'!O18/($AB34+$AC34*('Данные'!O$4-AVERAGE(Periods)))</f>
        <v>0.45360824742268</v>
      </c>
      <c r="N34" s="75">
        <f>'Данные'!P18/($AB34+$AC34*('Данные'!P$4-AVERAGE(Periods)))</f>
        <v>0.491467576791809</v>
      </c>
      <c r="O34" s="75">
        <f>'Данные'!Q18/($AB34+$AC34*('Данные'!Q$4-AVERAGE(Periods)))</f>
        <v>0.813559322033898</v>
      </c>
      <c r="P34" s="75">
        <f>'Данные'!R18/($AB34+$AC34*('Данные'!R$4-AVERAGE(Periods)))</f>
        <v>1.17171717171717</v>
      </c>
      <c r="Q34" s="75">
        <f>'Данные'!S18/($AB34+$AC34*('Данные'!S$4-AVERAGE(Periods)))</f>
        <v>1.48494983277592</v>
      </c>
      <c r="R34" s="75">
        <f>'Данные'!T18/($AB34+$AC34*('Данные'!T$4-AVERAGE(Periods)))</f>
        <v>1.43521594684385</v>
      </c>
      <c r="S34" s="75">
        <f>'Данные'!U18/($AB34+$AC34*('Данные'!U$4-AVERAGE(Periods)))</f>
        <v>1.66336633663366</v>
      </c>
      <c r="T34" s="75">
        <f>'Данные'!V18/($AB34+$AC34*('Данные'!V$4-AVERAGE(Periods)))</f>
        <v>1.57377049180328</v>
      </c>
      <c r="U34" s="75">
        <f>'Данные'!W18/($AB34+$AC34*('Данные'!W$4-AVERAGE(Periods)))</f>
        <v>1.13355048859935</v>
      </c>
      <c r="V34" s="75">
        <f>'Данные'!X18/($AB34+$AC34*('Данные'!X$4-AVERAGE(Periods)))</f>
        <v>0.854368932038835</v>
      </c>
      <c r="W34" s="75">
        <f>'Данные'!Y18/($AB34+$AC34*('Данные'!Y$4-AVERAGE(Periods)))</f>
        <v>0.540192926045016</v>
      </c>
      <c r="X34" s="75">
        <f>'Данные'!Z18/($AB34+$AC34*('Данные'!Z$4-AVERAGE(Periods)))</f>
        <v>0.536741214057508</v>
      </c>
      <c r="Y34" s="75">
        <f>'Данные'!AA18/($AB34+$AC34*('Данные'!AA$4-AVERAGE(Periods)))</f>
        <v>0.419047619047619</v>
      </c>
      <c r="Z34" s="75">
        <f>'Данные'!AB18/($AB34+$AC34*('Данные'!AB$4-AVERAGE(Periods)))</f>
        <v>0.49211356466877</v>
      </c>
      <c r="AA34" s="75">
        <f>'Данные'!AC18/($AB34+$AC34*('Данные'!AC$4-AVERAGE(Periods)))</f>
        <v>0.789968652037618</v>
      </c>
      <c r="AB34" s="76">
        <f>AVERAGE('Данные'!$F18:$AC18)</f>
        <v>24.6666666666667</v>
      </c>
      <c r="AC34" s="77">
        <f>(SUM('Данные'!$R18:$AC18)-SUM('Данные'!$F18:$Q18))/144</f>
        <v>0.166666666666667</v>
      </c>
    </row>
    <row r="36" ht="20" customHeight="1">
      <c r="A36" s="67" t="inlineStr">
        <is>
          <t>Шаг 3. Ряд, очищенный от сезонности (факт ÷ индекс месяца) — по нему ПРЕДСКАЗ.ЛИНЕЙН строит тренд на листе «Прогноз»</t>
        </is>
      </c>
    </row>
    <row r="37" ht="20" customHeight="1">
      <c r="A37" s="41" t="inlineStr">
        <is>
          <t>Код</t>
        </is>
      </c>
      <c r="B37" s="68" t="inlineStr">
        <is>
          <t>Наименование</t>
        </is>
      </c>
      <c r="C37" s="41" t="inlineStr">
        <is>
          <t>Ед.</t>
        </is>
      </c>
      <c r="D37" s="43">
        <f>'Данные'!F6</f>
        <v>45566.0</v>
      </c>
      <c r="E37" s="43">
        <f>'Данные'!G6</f>
        <v>45597.0</v>
      </c>
      <c r="F37" s="43">
        <f>'Данные'!H6</f>
        <v>45627.0</v>
      </c>
      <c r="G37" s="43">
        <f>'Данные'!I6</f>
        <v>45658.0</v>
      </c>
      <c r="H37" s="43">
        <f>'Данные'!J6</f>
        <v>45689.0</v>
      </c>
      <c r="I37" s="43">
        <f>'Данные'!K6</f>
        <v>45717.0</v>
      </c>
      <c r="J37" s="43">
        <f>'Данные'!L6</f>
        <v>45748.0</v>
      </c>
      <c r="K37" s="43">
        <f>'Данные'!M6</f>
        <v>45778.0</v>
      </c>
      <c r="L37" s="43">
        <f>'Данные'!N6</f>
        <v>45809.0</v>
      </c>
      <c r="M37" s="43">
        <f>'Данные'!O6</f>
        <v>45839.0</v>
      </c>
      <c r="N37" s="43">
        <f>'Данные'!P6</f>
        <v>45870.0</v>
      </c>
      <c r="O37" s="43">
        <f>'Данные'!Q6</f>
        <v>45901.0</v>
      </c>
      <c r="P37" s="43">
        <f>'Данные'!R6</f>
        <v>45931.0</v>
      </c>
      <c r="Q37" s="43">
        <f>'Данные'!S6</f>
        <v>45962.0</v>
      </c>
      <c r="R37" s="43">
        <f>'Данные'!T6</f>
        <v>45992.0</v>
      </c>
      <c r="S37" s="43">
        <f>'Данные'!U6</f>
        <v>46023.0</v>
      </c>
      <c r="T37" s="43">
        <f>'Данные'!V6</f>
        <v>46054.0</v>
      </c>
      <c r="U37" s="43">
        <f>'Данные'!W6</f>
        <v>46082.0</v>
      </c>
      <c r="V37" s="43">
        <f>'Данные'!X6</f>
        <v>46113.0</v>
      </c>
      <c r="W37" s="43">
        <f>'Данные'!Y6</f>
        <v>46143.0</v>
      </c>
      <c r="X37" s="43">
        <f>'Данные'!Z6</f>
        <v>46174.0</v>
      </c>
      <c r="Y37" s="43">
        <f>'Данные'!AA6</f>
        <v>46204.0</v>
      </c>
      <c r="Z37" s="43">
        <f>'Данные'!AB6</f>
        <v>46235.0</v>
      </c>
      <c r="AA37" s="43">
        <f>'Данные'!AC6</f>
        <v>46266.0</v>
      </c>
    </row>
    <row r="38" ht="17" customHeight="1">
      <c r="A38" s="60" t="str">
        <f>'Данные'!A7</f>
        <v>ESP-01</v>
      </c>
      <c r="B38" s="61" t="str">
        <f>'Данные'!B7</f>
        <v>Зерно «Эспрессо-бленд»</v>
      </c>
      <c r="C38" s="62" t="str">
        <f>'Данные'!D7</f>
        <v>кг</v>
      </c>
      <c r="D38" s="78">
        <f>'Данные'!F7/INDEX($D7:$O7,'Данные'!F$5)</f>
        <v>347.198087687293</v>
      </c>
      <c r="E38" s="78">
        <f>'Данные'!G7/INDEX($D7:$O7,'Данные'!G$5)</f>
        <v>355.565407008189</v>
      </c>
      <c r="F38" s="78">
        <f>'Данные'!H7/INDEX($D7:$O7,'Данные'!H$5)</f>
        <v>342.898009131043</v>
      </c>
      <c r="G38" s="78">
        <f>'Данные'!I7/INDEX($D7:$O7,'Данные'!I$5)</f>
        <v>370.489652262428</v>
      </c>
      <c r="H38" s="78">
        <f>'Данные'!J7/INDEX($D7:$O7,'Данные'!J$5)</f>
        <v>366.615048997684</v>
      </c>
      <c r="I38" s="78">
        <f>'Данные'!K7/INDEX($D7:$O7,'Данные'!K$5)</f>
        <v>356.26648650738</v>
      </c>
      <c r="J38" s="78">
        <f>'Данные'!L7/INDEX($D7:$O7,'Данные'!L$5)</f>
        <v>362.749557298147</v>
      </c>
      <c r="K38" s="78">
        <f>'Данные'!M7/INDEX($D7:$O7,'Данные'!M$5)</f>
        <v>376.273278041604</v>
      </c>
      <c r="L38" s="78">
        <f>'Данные'!N7/INDEX($D7:$O7,'Данные'!N$5)</f>
        <v>369.019891814825</v>
      </c>
      <c r="M38" s="78">
        <f>'Данные'!O7/INDEX($D7:$O7,'Данные'!O$5)</f>
        <v>363.678495993504</v>
      </c>
      <c r="N38" s="78">
        <f>'Данные'!P7/INDEX($D7:$O7,'Данные'!P$5)</f>
        <v>377.83900222237</v>
      </c>
      <c r="O38" s="78">
        <f>'Данные'!Q7/INDEX($D7:$O7,'Данные'!Q$5)</f>
        <v>377.734680617162</v>
      </c>
      <c r="P38" s="78">
        <f>'Данные'!R7/INDEX($D7:$O7,'Данные'!R$5)</f>
        <v>382.587424448807</v>
      </c>
      <c r="Q38" s="78">
        <f>'Данные'!S7/INDEX($D7:$O7,'Данные'!S$5)</f>
        <v>377.904594883049</v>
      </c>
      <c r="R38" s="78">
        <f>'Данные'!T7/INDEX($D7:$O7,'Данные'!T$5)</f>
        <v>395.722837564744</v>
      </c>
      <c r="S38" s="78">
        <f>'Данные'!U7/INDEX($D7:$O7,'Данные'!U$5)</f>
        <v>370.489652262428</v>
      </c>
      <c r="T38" s="78">
        <f>'Данные'!V7/INDEX($D7:$O7,'Данные'!V$5)</f>
        <v>378.903821589785</v>
      </c>
      <c r="U38" s="78">
        <f>'Данные'!W7/INDEX($D7:$O7,'Данные'!W$5)</f>
        <v>394.229308840134</v>
      </c>
      <c r="V38" s="78">
        <f>'Данные'!X7/INDEX($D7:$O7,'Данные'!X$5)</f>
        <v>391.570755001287</v>
      </c>
      <c r="W38" s="78">
        <f>'Данные'!Y7/INDEX($D7:$O7,'Данные'!Y$5)</f>
        <v>381.399616979501</v>
      </c>
      <c r="X38" s="78">
        <f>'Данные'!Z7/INDEX($D7:$O7,'Данные'!Z$5)</f>
        <v>393.409137538218</v>
      </c>
      <c r="Y38" s="78">
        <f>'Данные'!AA7/INDEX($D7:$O7,'Данные'!AA$5)</f>
        <v>403.372019155037</v>
      </c>
      <c r="Z38" s="78">
        <f>'Данные'!AB7/INDEX($D7:$O7,'Данные'!AB$5)</f>
        <v>392.532741197684</v>
      </c>
      <c r="AA38" s="78">
        <f>'Данные'!AC7/INDEX($D7:$O7,'Данные'!AC$5)</f>
        <v>396.909029887069</v>
      </c>
    </row>
    <row r="39" ht="17" customHeight="1">
      <c r="A39" s="72" t="str">
        <f>'Данные'!A8</f>
        <v>FLT-02</v>
      </c>
      <c r="B39" s="73" t="str">
        <f>'Данные'!B8</f>
        <v>Зерно «Эфиопия Иргачеффе», фильтр</v>
      </c>
      <c r="C39" s="74" t="str">
        <f>'Данные'!D8</f>
        <v>кг</v>
      </c>
      <c r="D39" s="79">
        <f>'Данные'!F8/INDEX($D8:$O8,'Данные'!F$5)</f>
        <v>35.9411620659788</v>
      </c>
      <c r="E39" s="79">
        <f>'Данные'!G8/INDEX($D8:$O8,'Данные'!G$5)</f>
        <v>37.9953739475166</v>
      </c>
      <c r="F39" s="79">
        <f>'Данные'!H8/INDEX($D8:$O8,'Данные'!H$5)</f>
        <v>34.6757533579891</v>
      </c>
      <c r="G39" s="79">
        <f>'Данные'!I8/INDEX($D8:$O8,'Данные'!I$5)</f>
        <v>36.9939728086971</v>
      </c>
      <c r="H39" s="79">
        <f>'Данные'!J8/INDEX($D8:$O8,'Данные'!J$5)</f>
        <v>35.3210769184871</v>
      </c>
      <c r="I39" s="79">
        <f>'Данные'!K8/INDEX($D8:$O8,'Данные'!K$5)</f>
        <v>38.5239672006308</v>
      </c>
      <c r="J39" s="79">
        <f>'Данные'!L8/INDEX($D8:$O8,'Данные'!L$5)</f>
        <v>37.5528521446427</v>
      </c>
      <c r="K39" s="79">
        <f>'Данные'!M8/INDEX($D8:$O8,'Данные'!M$5)</f>
        <v>38.5214094981989</v>
      </c>
      <c r="L39" s="79">
        <f>'Данные'!N8/INDEX($D8:$O8,'Данные'!N$5)</f>
        <v>39.9199182733263</v>
      </c>
      <c r="M39" s="79">
        <f>'Данные'!O8/INDEX($D8:$O8,'Данные'!O$5)</f>
        <v>40.2406159739408</v>
      </c>
      <c r="N39" s="79">
        <f>'Данные'!P8/INDEX($D8:$O8,'Данные'!P$5)</f>
        <v>36.1868035190144</v>
      </c>
      <c r="O39" s="79">
        <f>'Данные'!Q8/INDEX($D8:$O8,'Данные'!Q$5)</f>
        <v>43.2672441153679</v>
      </c>
      <c r="P39" s="79">
        <f>'Данные'!R8/INDEX($D8:$O8,'Данные'!R$5)</f>
        <v>40.169534073741</v>
      </c>
      <c r="Q39" s="79">
        <f>'Данные'!S8/INDEX($D8:$O8,'Данные'!S$5)</f>
        <v>39.0508010016143</v>
      </c>
      <c r="R39" s="79">
        <f>'Данные'!T8/INDEX($D8:$O8,'Данные'!T$5)</f>
        <v>44.4283089899235</v>
      </c>
      <c r="S39" s="79">
        <f>'Данные'!U8/INDEX($D8:$O8,'Данные'!U$5)</f>
        <v>42.9929954263237</v>
      </c>
      <c r="T39" s="79">
        <f>'Данные'!V8/INDEX($D8:$O8,'Данные'!V$5)</f>
        <v>46.3589134555143</v>
      </c>
      <c r="U39" s="79">
        <f>'Данные'!W8/INDEX($D8:$O8,'Данные'!W$5)</f>
        <v>43.8745182007184</v>
      </c>
      <c r="V39" s="79">
        <f>'Данные'!X8/INDEX($D8:$O8,'Данные'!X$5)</f>
        <v>46.3888173551469</v>
      </c>
      <c r="W39" s="79">
        <f>'Данные'!Y8/INDEX($D8:$O8,'Данные'!Y$5)</f>
        <v>46.5840300908452</v>
      </c>
      <c r="X39" s="79">
        <f>'Данные'!Z8/INDEX($D8:$O8,'Данные'!Z$5)</f>
        <v>46.2708143622646</v>
      </c>
      <c r="Y39" s="79">
        <f>'Данные'!AA8/INDEX($D8:$O8,'Данные'!AA$5)</f>
        <v>47.2389839694088</v>
      </c>
      <c r="Z39" s="79">
        <f>'Данные'!AB8/INDEX($D8:$O8,'Данные'!AB$5)</f>
        <v>53.3755351905462</v>
      </c>
      <c r="AA39" s="79">
        <f>'Данные'!AC8/INDEX($D8:$O8,'Данные'!AC$5)</f>
        <v>46.3577615521799</v>
      </c>
    </row>
    <row r="40" ht="17" customHeight="1">
      <c r="A40" s="60" t="str">
        <f>'Данные'!A9</f>
        <v>MLK-03</v>
      </c>
      <c r="B40" s="61" t="str">
        <f>'Данные'!B9</f>
        <v>Молоко 3,2 %</v>
      </c>
      <c r="C40" s="62" t="str">
        <f>'Данные'!D9</f>
        <v>л</v>
      </c>
      <c r="D40" s="78">
        <f>'Данные'!F9/INDEX($D9:$O9,'Данные'!F$5)</f>
        <v>3641.47674810961</v>
      </c>
      <c r="E40" s="78">
        <f>'Данные'!G9/INDEX($D9:$O9,'Данные'!G$5)</f>
        <v>3684.89604045503</v>
      </c>
      <c r="F40" s="78">
        <f>'Данные'!H9/INDEX($D9:$O9,'Данные'!H$5)</f>
        <v>3576.29013269667</v>
      </c>
      <c r="G40" s="78">
        <f>'Данные'!I9/INDEX($D9:$O9,'Данные'!I$5)</f>
        <v>3554.70925280999</v>
      </c>
      <c r="H40" s="78">
        <f>'Данные'!J9/INDEX($D9:$O9,'Данные'!J$5)</f>
        <v>3414.83072978534</v>
      </c>
      <c r="I40" s="78">
        <f>'Данные'!K9/INDEX($D9:$O9,'Данные'!K$5)</f>
        <v>3377.78897383905</v>
      </c>
      <c r="J40" s="78">
        <f>'Данные'!L9/INDEX($D9:$O9,'Данные'!L$5)</f>
        <v>3409.77199944843</v>
      </c>
      <c r="K40" s="78">
        <f>'Данные'!M9/INDEX($D9:$O9,'Данные'!M$5)</f>
        <v>3380.73647709063</v>
      </c>
      <c r="L40" s="78">
        <f>'Данные'!N9/INDEX($D9:$O9,'Данные'!N$5)</f>
        <v>3466.30846453802</v>
      </c>
      <c r="M40" s="78">
        <f>'Данные'!O9/INDEX($D9:$O9,'Данные'!O$5)</f>
        <v>3410.49723612674</v>
      </c>
      <c r="N40" s="78">
        <f>'Данные'!P9/INDEX($D9:$O9,'Данные'!P$5)</f>
        <v>3615.15229867579</v>
      </c>
      <c r="O40" s="78">
        <f>'Данные'!Q9/INDEX($D9:$O9,'Данные'!Q$5)</f>
        <v>3414.23482781985</v>
      </c>
      <c r="P40" s="78">
        <f>'Данные'!R9/INDEX($D9:$O9,'Данные'!R$5)</f>
        <v>3354.85728793582</v>
      </c>
      <c r="Q40" s="78">
        <f>'Данные'!S9/INDEX($D9:$O9,'Данные'!S$5)</f>
        <v>3313.20217898304</v>
      </c>
      <c r="R40" s="78">
        <f>'Данные'!T9/INDEX($D9:$O9,'Данные'!T$5)</f>
        <v>3424.069017345</v>
      </c>
      <c r="S40" s="78">
        <f>'Данные'!U9/INDEX($D9:$O9,'Данные'!U$5)</f>
        <v>3447.62639643652</v>
      </c>
      <c r="T40" s="78">
        <f>'Данные'!V9/INDEX($D9:$O9,'Данные'!V$5)</f>
        <v>3589.86765084037</v>
      </c>
      <c r="U40" s="78">
        <f>'Данные'!W9/INDEX($D9:$O9,'Данные'!W$5)</f>
        <v>3628.93619077445</v>
      </c>
      <c r="V40" s="78">
        <f>'Данные'!X9/INDEX($D9:$O9,'Данные'!X$5)</f>
        <v>3598.75462063896</v>
      </c>
      <c r="W40" s="78">
        <f>'Данные'!Y9/INDEX($D9:$O9,'Данные'!Y$5)</f>
        <v>3629.79073235559</v>
      </c>
      <c r="X40" s="78">
        <f>'Данные'!Z9/INDEX($D9:$O9,'Данные'!Z$5)</f>
        <v>3545.84546496463</v>
      </c>
      <c r="Y40" s="78">
        <f>'Данные'!AA9/INDEX($D9:$O9,'Данные'!AA$5)</f>
        <v>3603.7445888587</v>
      </c>
      <c r="Z40" s="78">
        <f>'Данные'!AB9/INDEX($D9:$O9,'Данные'!AB$5)</f>
        <v>3400.32821800877</v>
      </c>
      <c r="AA40" s="78">
        <f>'Данные'!AC9/INDEX($D9:$O9,'Данные'!AC$5)</f>
        <v>3603.80652241691</v>
      </c>
    </row>
    <row r="41" ht="17" customHeight="1">
      <c r="A41" s="72" t="str">
        <f>'Данные'!A10</f>
        <v>OAT-04</v>
      </c>
      <c r="B41" s="73" t="str">
        <f>'Данные'!B10</f>
        <v>Напиток овсяный «Бариста»</v>
      </c>
      <c r="C41" s="74" t="str">
        <f>'Данные'!D10</f>
        <v>л</v>
      </c>
      <c r="D41" s="79">
        <f>'Данные'!F10/INDEX($D10:$O10,'Данные'!F$5)</f>
        <v>387.114048010359</v>
      </c>
      <c r="E41" s="79">
        <f>'Данные'!G10/INDEX($D10:$O10,'Данные'!G$5)</f>
        <v>383.142159716198</v>
      </c>
      <c r="F41" s="79">
        <f>'Данные'!H10/INDEX($D10:$O10,'Данные'!H$5)</f>
        <v>406.032053475338</v>
      </c>
      <c r="G41" s="79">
        <f>'Данные'!I10/INDEX($D10:$O10,'Данные'!I$5)</f>
        <v>402.275519213723</v>
      </c>
      <c r="H41" s="79">
        <f>'Данные'!J10/INDEX($D10:$O10,'Данные'!J$5)</f>
        <v>412.203903522434</v>
      </c>
      <c r="I41" s="79">
        <f>'Данные'!K10/INDEX($D10:$O10,'Данные'!K$5)</f>
        <v>396.358267816146</v>
      </c>
      <c r="J41" s="79">
        <f>'Данные'!L10/INDEX($D10:$O10,'Данные'!L$5)</f>
        <v>431.4640953329</v>
      </c>
      <c r="K41" s="79">
        <f>'Данные'!M10/INDEX($D10:$O10,'Данные'!M$5)</f>
        <v>455.199887114675</v>
      </c>
      <c r="L41" s="79">
        <f>'Данные'!N10/INDEX($D10:$O10,'Данные'!N$5)</f>
        <v>486.272900565289</v>
      </c>
      <c r="M41" s="79">
        <f>'Данные'!O10/INDEX($D10:$O10,'Данные'!O$5)</f>
        <v>457.848428355803</v>
      </c>
      <c r="N41" s="79">
        <f>'Данные'!P10/INDEX($D10:$O10,'Данные'!P$5)</f>
        <v>458.487421113549</v>
      </c>
      <c r="O41" s="79">
        <f>'Данные'!Q10/INDEX($D10:$O10,'Данные'!Q$5)</f>
        <v>445.982356815827</v>
      </c>
      <c r="P41" s="79">
        <f>'Данные'!R10/INDEX($D10:$O10,'Данные'!R$5)</f>
        <v>470.001997113753</v>
      </c>
      <c r="Q41" s="79">
        <f>'Данные'!S10/INDEX($D10:$O10,'Данные'!S$5)</f>
        <v>500.873173752981</v>
      </c>
      <c r="R41" s="79">
        <f>'Данные'!T10/INDEX($D10:$O10,'Данные'!T$5)</f>
        <v>495.625980768018</v>
      </c>
      <c r="S41" s="79">
        <f>'Данные'!U10/INDEX($D10:$O10,'Данные'!U$5)</f>
        <v>525.891433972107</v>
      </c>
      <c r="T41" s="79">
        <f>'Данные'!V10/INDEX($D10:$O10,'Данные'!V$5)</f>
        <v>537.888814673977</v>
      </c>
      <c r="U41" s="79">
        <f>'Данные'!W10/INDEX($D10:$O10,'Данные'!W$5)</f>
        <v>583.582776231812</v>
      </c>
      <c r="V41" s="79">
        <f>'Данные'!X10/INDEX($D10:$O10,'Данные'!X$5)</f>
        <v>562.613974531007</v>
      </c>
      <c r="W41" s="79">
        <f>'Данные'!Y10/INDEX($D10:$O10,'Данные'!Y$5)</f>
        <v>556.711599029919</v>
      </c>
      <c r="X41" s="79">
        <f>'Данные'!Z10/INDEX($D10:$O10,'Данные'!Z$5)</f>
        <v>541.554451366396</v>
      </c>
      <c r="Y41" s="79">
        <f>'Данные'!AA10/INDEX($D10:$O10,'Данные'!AA$5)</f>
        <v>602.77886610872</v>
      </c>
      <c r="Z41" s="79">
        <f>'Данные'!AB10/INDEX($D10:$O10,'Данные'!AB$5)</f>
        <v>626.498264170612</v>
      </c>
      <c r="AA41" s="79">
        <f>'Данные'!AC10/INDEX($D10:$O10,'Данные'!AC$5)</f>
        <v>666.748074361386</v>
      </c>
    </row>
    <row r="42" ht="17" customHeight="1">
      <c r="A42" s="60" t="str">
        <f>'Данные'!A11</f>
        <v>SYR-05</v>
      </c>
      <c r="B42" s="61" t="str">
        <f>'Данные'!B11</f>
        <v>Сироп «Ваниль», 1 л</v>
      </c>
      <c r="C42" s="62" t="str">
        <f>'Данные'!D11</f>
        <v>бут.</v>
      </c>
      <c r="D42" s="78">
        <f>'Данные'!F11/INDEX($D11:$O11,'Данные'!F$5)</f>
        <v>37.6581201836344</v>
      </c>
      <c r="E42" s="78">
        <f>'Данные'!G11/INDEX($D11:$O11,'Данные'!G$5)</f>
        <v>38.0376726260066</v>
      </c>
      <c r="F42" s="78">
        <f>'Данные'!H11/INDEX($D11:$O11,'Данные'!H$5)</f>
        <v>39.5475586029844</v>
      </c>
      <c r="G42" s="78">
        <f>'Данные'!I11/INDEX($D11:$O11,'Данные'!I$5)</f>
        <v>43.270951113693</v>
      </c>
      <c r="H42" s="78">
        <f>'Данные'!J11/INDEX($D11:$O11,'Данные'!J$5)</f>
        <v>36.2240022990506</v>
      </c>
      <c r="I42" s="78">
        <f>'Данные'!K11/INDEX($D11:$O11,'Данные'!K$5)</f>
        <v>42.4298056244011</v>
      </c>
      <c r="J42" s="78">
        <f>'Данные'!L11/INDEX($D11:$O11,'Данные'!L$5)</f>
        <v>43.0841984325566</v>
      </c>
      <c r="K42" s="78">
        <f>'Данные'!M11/INDEX($D11:$O11,'Данные'!M$5)</f>
        <v>36.9186365381865</v>
      </c>
      <c r="L42" s="78">
        <f>'Данные'!N11/INDEX($D11:$O11,'Данные'!N$5)</f>
        <v>47.5319303613619</v>
      </c>
      <c r="M42" s="78">
        <f>'Данные'!O11/INDEX($D11:$O11,'Данные'!O$5)</f>
        <v>40.7910607257369</v>
      </c>
      <c r="N42" s="78">
        <f>'Данные'!P11/INDEX($D11:$O11,'Данные'!P$5)</f>
        <v>39.6225569398473</v>
      </c>
      <c r="O42" s="78">
        <f>'Данные'!Q11/INDEX($D11:$O11,'Данные'!Q$5)</f>
        <v>42.4768216226111</v>
      </c>
      <c r="P42" s="78">
        <f>'Данные'!R11/INDEX($D11:$O11,'Данные'!R$5)</f>
        <v>43.9344735475735</v>
      </c>
      <c r="Q42" s="78">
        <f>'Данные'!S11/INDEX($D11:$O11,'Данные'!S$5)</f>
        <v>44.0436209353761</v>
      </c>
      <c r="R42" s="78">
        <f>'Данные'!T11/INDEX($D11:$O11,'Данные'!T$5)</f>
        <v>42.9373493403831</v>
      </c>
      <c r="S42" s="78">
        <f>'Данные'!U11/INDEX($D11:$O11,'Данные'!U$5)</f>
        <v>39.452926015426</v>
      </c>
      <c r="T42" s="78">
        <f>'Данные'!V11/INDEX($D11:$O11,'Данные'!V$5)</f>
        <v>47.544003017504</v>
      </c>
      <c r="U42" s="78">
        <f>'Данные'!W11/INDEX($D11:$O11,'Данные'!W$5)</f>
        <v>41.3949323164889</v>
      </c>
      <c r="V42" s="78">
        <f>'Данные'!X11/INDEX($D11:$O11,'Данные'!X$5)</f>
        <v>41.2109724137498</v>
      </c>
      <c r="W42" s="78">
        <f>'Данные'!Y11/INDEX($D11:$O11,'Данные'!Y$5)</f>
        <v>48.3458335619109</v>
      </c>
      <c r="X42" s="78">
        <f>'Данные'!Z11/INDEX($D11:$O11,'Данные'!Z$5)</f>
        <v>37.4770989387661</v>
      </c>
      <c r="Y42" s="78">
        <f>'Данные'!AA11/INDEX($D11:$O11,'Данные'!AA$5)</f>
        <v>45.2248716741865</v>
      </c>
      <c r="Z42" s="78">
        <f>'Данные'!AB11/INDEX($D11:$O11,'Данные'!AB$5)</f>
        <v>46.994195440284</v>
      </c>
      <c r="AA42" s="78">
        <f>'Данные'!AC11/INDEX($D11:$O11,'Данные'!AC$5)</f>
        <v>44.452487744593</v>
      </c>
    </row>
    <row r="43" ht="17" customHeight="1">
      <c r="A43" s="72" t="str">
        <f>'Данные'!A12</f>
        <v>SYR-06</v>
      </c>
      <c r="B43" s="73" t="str">
        <f>'Данные'!B12</f>
        <v>Сироп «Тыквенный пряный», 1 л</v>
      </c>
      <c r="C43" s="74" t="str">
        <f>'Данные'!D12</f>
        <v>бут.</v>
      </c>
      <c r="D43" s="79">
        <f>'Данные'!F12/INDEX($D12:$O12,'Данные'!F$5)</f>
        <v>22.212736577791</v>
      </c>
      <c r="E43" s="79">
        <f>'Данные'!G12/INDEX($D12:$O12,'Данные'!G$5)</f>
        <v>23.5817071294655</v>
      </c>
      <c r="F43" s="79">
        <f>'Данные'!H12/INDEX($D12:$O12,'Данные'!H$5)</f>
        <v>21.7760353284478</v>
      </c>
      <c r="G43" s="79">
        <f>'Данные'!I12/INDEX($D12:$O12,'Данные'!I$5)</f>
        <v>20.7929088249305</v>
      </c>
      <c r="H43" s="79">
        <f>'Данные'!J12/INDEX($D12:$O12,'Данные'!J$5)</f>
        <v>23.9645075013223</v>
      </c>
      <c r="I43" s="79">
        <f>'Данные'!K12/INDEX($D12:$O12,'Данные'!K$5)</f>
        <v>24.2072516372095</v>
      </c>
      <c r="J43" s="79">
        <f>'Данные'!L12/INDEX($D12:$O12,'Данные'!L$5)</f>
        <v>24.449978585055</v>
      </c>
      <c r="K43" s="79">
        <f>'Данные'!M12/INDEX($D12:$O12,'Данные'!M$5)</f>
        <v>29.2881441370081</v>
      </c>
      <c r="L43" s="79">
        <f>'Данные'!N12/INDEX($D12:$O12,'Данные'!N$5)</f>
        <v>20.182438685111</v>
      </c>
      <c r="M43" s="79">
        <f>'Данные'!O12/INDEX($D12:$O12,'Данные'!O$5)</f>
        <v>25.1780612374875</v>
      </c>
      <c r="N43" s="79">
        <f>'Данные'!P12/INDEX($D12:$O12,'Данные'!P$5)</f>
        <v>20.0248948652697</v>
      </c>
      <c r="O43" s="79">
        <f>'Данные'!Q12/INDEX($D12:$O12,'Данные'!Q$5)</f>
        <v>21.8855837330623</v>
      </c>
      <c r="P43" s="79">
        <f>'Данные'!R12/INDEX($D12:$O12,'Данные'!R$5)</f>
        <v>23.8786918211253</v>
      </c>
      <c r="Q43" s="79">
        <f>'Данные'!S12/INDEX($D12:$O12,'Данные'!S$5)</f>
        <v>22.8447787816697</v>
      </c>
      <c r="R43" s="79">
        <f>'Данные'!T12/INDEX($D12:$O12,'Данные'!T$5)</f>
        <v>25.4053745498558</v>
      </c>
      <c r="S43" s="79">
        <f>'Данные'!U12/INDEX($D12:$O12,'Данные'!U$5)</f>
        <v>27.0307814724097</v>
      </c>
      <c r="T43" s="79">
        <f>'Данные'!V12/INDEX($D12:$O12,'Данные'!V$5)</f>
        <v>23.9645075013223</v>
      </c>
      <c r="U43" s="79">
        <f>'Данные'!W12/INDEX($D12:$O12,'Данные'!W$5)</f>
        <v>24.2072516372095</v>
      </c>
      <c r="V43" s="79">
        <f>'Данные'!X12/INDEX($D12:$O12,'Данные'!X$5)</f>
        <v>24.449978585055</v>
      </c>
      <c r="W43" s="79">
        <f>'Данные'!Y12/INDEX($D12:$O12,'Данные'!Y$5)</f>
        <v>19.5254294246721</v>
      </c>
      <c r="X43" s="79">
        <f>'Данные'!Z12/INDEX($D12:$O12,'Данные'!Z$5)</f>
        <v>30.2736580276665</v>
      </c>
      <c r="Y43" s="79">
        <f>'Данные'!AA12/INDEX($D12:$O12,'Данные'!AA$5)</f>
        <v>25.1780612374875</v>
      </c>
      <c r="Z43" s="79">
        <f>'Данные'!AB12/INDEX($D12:$O12,'Данные'!AB$5)</f>
        <v>31.467691931138</v>
      </c>
      <c r="AA43" s="79">
        <f>'Данные'!AC12/INDEX($D12:$O12,'Данные'!AC$5)</f>
        <v>29.8925046110119</v>
      </c>
    </row>
    <row r="44" ht="17" customHeight="1">
      <c r="A44" s="60" t="str">
        <f>'Данные'!A13</f>
        <v>CUP-07</v>
      </c>
      <c r="B44" s="61" t="str">
        <f>'Данные'!B13</f>
        <v>Стакан бумажный 300 мл</v>
      </c>
      <c r="C44" s="62" t="str">
        <f>'Данные'!D13</f>
        <v>шт.</v>
      </c>
      <c r="D44" s="78">
        <f>'Данные'!F13/INDEX($D13:$O13,'Данные'!F$5)</f>
        <v>12819.9963358981</v>
      </c>
      <c r="E44" s="78">
        <f>'Данные'!G13/INDEX($D13:$O13,'Данные'!G$5)</f>
        <v>14201.5761843134</v>
      </c>
      <c r="F44" s="78">
        <f>'Данные'!H13/INDEX($D13:$O13,'Данные'!H$5)</f>
        <v>13548.814740979</v>
      </c>
      <c r="G44" s="78">
        <f>'Данные'!I13/INDEX($D13:$O13,'Данные'!I$5)</f>
        <v>13322.2062438953</v>
      </c>
      <c r="H44" s="78">
        <f>'Данные'!J13/INDEX($D13:$O13,'Данные'!J$5)</f>
        <v>13322.6940014304</v>
      </c>
      <c r="I44" s="78">
        <f>'Данные'!K13/INDEX($D13:$O13,'Данные'!K$5)</f>
        <v>12829.9163794732</v>
      </c>
      <c r="J44" s="78">
        <f>'Данные'!L13/INDEX($D13:$O13,'Данные'!L$5)</f>
        <v>13171.2026841828</v>
      </c>
      <c r="K44" s="78">
        <f>'Данные'!M13/INDEX($D13:$O13,'Данные'!M$5)</f>
        <v>14151.3652934761</v>
      </c>
      <c r="L44" s="78">
        <f>'Данные'!N13/INDEX($D13:$O13,'Данные'!N$5)</f>
        <v>13206.2140584039</v>
      </c>
      <c r="M44" s="78">
        <f>'Данные'!O13/INDEX($D13:$O13,'Данные'!O$5)</f>
        <v>14232.4185320793</v>
      </c>
      <c r="N44" s="78">
        <f>'Данные'!P13/INDEX($D13:$O13,'Данные'!P$5)</f>
        <v>14369.0377816654</v>
      </c>
      <c r="O44" s="78">
        <f>'Данные'!Q13/INDEX($D13:$O13,'Данные'!Q$5)</f>
        <v>13788.0724474986</v>
      </c>
      <c r="P44" s="78">
        <f>'Данные'!R13/INDEX($D13:$O13,'Данные'!R$5)</f>
        <v>14425.2559528802</v>
      </c>
      <c r="Q44" s="78">
        <f>'Данные'!S13/INDEX($D13:$O13,'Данные'!S$5)</f>
        <v>13167.1184447301</v>
      </c>
      <c r="R44" s="78">
        <f>'Данные'!T13/INDEX($D13:$O13,'Данные'!T$5)</f>
        <v>14218.5822010711</v>
      </c>
      <c r="S44" s="78">
        <f>'Данные'!U13/INDEX($D13:$O13,'Данные'!U$5)</f>
        <v>14785.2485332024</v>
      </c>
      <c r="T44" s="78">
        <f>'Данные'!V13/INDEX($D13:$O13,'Данные'!V$5)</f>
        <v>15094.0808875548</v>
      </c>
      <c r="U44" s="78">
        <f>'Данные'!W13/INDEX($D13:$O13,'Данные'!W$5)</f>
        <v>15959.4840648364</v>
      </c>
      <c r="V44" s="78">
        <f>'Данные'!X13/INDEX($D13:$O13,'Данные'!X$5)</f>
        <v>15882.4783566636</v>
      </c>
      <c r="W44" s="78">
        <f>'Данные'!Y13/INDEX($D13:$O13,'Данные'!Y$5)</f>
        <v>15086.3578497747</v>
      </c>
      <c r="X44" s="78">
        <f>'Данные'!Z13/INDEX($D13:$O13,'Данные'!Z$5)</f>
        <v>16458.6828144403</v>
      </c>
      <c r="Y44" s="78">
        <f>'Данные'!AA13/INDEX($D13:$O13,'Данные'!AA$5)</f>
        <v>15612.6936187103</v>
      </c>
      <c r="Z44" s="78">
        <f>'Данные'!AB13/INDEX($D13:$O13,'Данные'!AB$5)</f>
        <v>15767.5782352644</v>
      </c>
      <c r="AA44" s="78">
        <f>'Данные'!AC13/INDEX($D13:$O13,'Данные'!AC$5)</f>
        <v>16727.0904398772</v>
      </c>
    </row>
    <row r="45" ht="17" customHeight="1">
      <c r="A45" s="72" t="str">
        <f>'Данные'!A14</f>
        <v>LID-08</v>
      </c>
      <c r="B45" s="73" t="str">
        <f>'Данные'!B14</f>
        <v>Крышка для стакана Ø 90 мм</v>
      </c>
      <c r="C45" s="74" t="str">
        <f>'Данные'!D14</f>
        <v>шт.</v>
      </c>
      <c r="D45" s="79">
        <f>'Данные'!F14/INDEX($D14:$O14,'Данные'!F$5)</f>
        <v>12087.8333781314</v>
      </c>
      <c r="E45" s="79">
        <f>'Данные'!G14/INDEX($D14:$O14,'Данные'!G$5)</f>
        <v>13071.7060250826</v>
      </c>
      <c r="F45" s="79">
        <f>'Данные'!H14/INDEX($D14:$O14,'Данные'!H$5)</f>
        <v>12690.7312438897</v>
      </c>
      <c r="G45" s="79">
        <f>'Данные'!I14/INDEX($D14:$O14,'Данные'!I$5)</f>
        <v>13442.6069334394</v>
      </c>
      <c r="H45" s="79">
        <f>'Данные'!J14/INDEX($D14:$O14,'Данные'!J$5)</f>
        <v>12645.236399006</v>
      </c>
      <c r="I45" s="79">
        <f>'Данные'!K14/INDEX($D14:$O14,'Данные'!K$5)</f>
        <v>13274.9843914276</v>
      </c>
      <c r="J45" s="79">
        <f>'Данные'!L14/INDEX($D14:$O14,'Данные'!L$5)</f>
        <v>12767.9550102582</v>
      </c>
      <c r="K45" s="79">
        <f>'Данные'!M14/INDEX($D14:$O14,'Данные'!M$5)</f>
        <v>12873.9795450996</v>
      </c>
      <c r="L45" s="79">
        <f>'Данные'!N14/INDEX($D14:$O14,'Данные'!N$5)</f>
        <v>15245.9365343242</v>
      </c>
      <c r="M45" s="79">
        <f>'Данные'!O14/INDEX($D14:$O14,'Данные'!O$5)</f>
        <v>13259.9136345338</v>
      </c>
      <c r="N45" s="79">
        <f>'Данные'!P14/INDEX($D14:$O14,'Данные'!P$5)</f>
        <v>13667.8879177772</v>
      </c>
      <c r="O45" s="79">
        <f>'Данные'!Q14/INDEX($D14:$O14,'Данные'!Q$5)</f>
        <v>14583.1950156431</v>
      </c>
      <c r="P45" s="79">
        <f>'Данные'!R14/INDEX($D14:$O14,'Данные'!R$5)</f>
        <v>14710.5738468853</v>
      </c>
      <c r="Q45" s="79">
        <f>'Данные'!S14/INDEX($D14:$O14,'Данные'!S$5)</f>
        <v>13844.8667688822</v>
      </c>
      <c r="R45" s="79">
        <f>'Данные'!T14/INDEX($D14:$O14,'Данные'!T$5)</f>
        <v>14472.7674521454</v>
      </c>
      <c r="S45" s="79">
        <f>'Данные'!U14/INDEX($D14:$O14,'Данные'!U$5)</f>
        <v>13862.1437491987</v>
      </c>
      <c r="T45" s="79">
        <f>'Данные'!V14/INDEX($D14:$O14,'Данные'!V$5)</f>
        <v>14944.1559382622</v>
      </c>
      <c r="U45" s="79">
        <f>'Данные'!W14/INDEX($D14:$O14,'Данные'!W$5)</f>
        <v>14467.5554252121</v>
      </c>
      <c r="V45" s="79">
        <f>'Данные'!X14/INDEX($D14:$O14,'Данные'!X$5)</f>
        <v>15231.4216168287</v>
      </c>
      <c r="W45" s="79">
        <f>'Данные'!Y14/INDEX($D14:$O14,'Данные'!Y$5)</f>
        <v>15326.3019652792</v>
      </c>
      <c r="X45" s="79">
        <f>'Данные'!Z14/INDEX($D14:$O14,'Данные'!Z$5)</f>
        <v>12953.0940803508</v>
      </c>
      <c r="Y45" s="79">
        <f>'Данные'!AA14/INDEX($D14:$O14,'Данные'!AA$5)</f>
        <v>15326.8164042003</v>
      </c>
      <c r="Z45" s="79">
        <f>'Данные'!AB14/INDEX($D14:$O14,'Данные'!AB$5)</f>
        <v>15093.3522016471</v>
      </c>
      <c r="AA45" s="79">
        <f>'Данные'!AC14/INDEX($D14:$O14,'Данные'!AC$5)</f>
        <v>14308.6746330974</v>
      </c>
    </row>
    <row r="46" ht="17" customHeight="1">
      <c r="A46" s="60" t="str">
        <f>'Данные'!A15</f>
        <v>CRS-09</v>
      </c>
      <c r="B46" s="61" t="str">
        <f>'Данные'!B15</f>
        <v>Круассан сливочный, заморозка</v>
      </c>
      <c r="C46" s="62" t="str">
        <f>'Данные'!D15</f>
        <v>шт.</v>
      </c>
      <c r="D46" s="78">
        <f>'Данные'!F15/INDEX($D15:$O15,'Данные'!F$5)</f>
        <v>4862.8029127465</v>
      </c>
      <c r="E46" s="78">
        <f>'Данные'!G15/INDEX($D15:$O15,'Данные'!G$5)</f>
        <v>4744.28460733348</v>
      </c>
      <c r="F46" s="78">
        <f>'Данные'!H15/INDEX($D15:$O15,'Данные'!H$5)</f>
        <v>4933.93735790505</v>
      </c>
      <c r="G46" s="78">
        <f>'Данные'!I15/INDEX($D15:$O15,'Данные'!I$5)</f>
        <v>4595.38624817624</v>
      </c>
      <c r="H46" s="78">
        <f>'Данные'!J15/INDEX($D15:$O15,'Данные'!J$5)</f>
        <v>4638.74036999236</v>
      </c>
      <c r="I46" s="78">
        <f>'Данные'!K15/INDEX($D15:$O15,'Данные'!K$5)</f>
        <v>4949.53919713171</v>
      </c>
      <c r="J46" s="78">
        <f>'Данные'!L15/INDEX($D15:$O15,'Данные'!L$5)</f>
        <v>5008.69230136856</v>
      </c>
      <c r="K46" s="78">
        <f>'Данные'!M15/INDEX($D15:$O15,'Данные'!M$5)</f>
        <v>4935.27224678933</v>
      </c>
      <c r="L46" s="78">
        <f>'Данные'!N15/INDEX($D15:$O15,'Данные'!N$5)</f>
        <v>4900.42757892243</v>
      </c>
      <c r="M46" s="78">
        <f>'Данные'!O15/INDEX($D15:$O15,'Данные'!O$5)</f>
        <v>5195.86494754995</v>
      </c>
      <c r="N46" s="78">
        <f>'Данные'!P15/INDEX($D15:$O15,'Данные'!P$5)</f>
        <v>5030.71287009874</v>
      </c>
      <c r="O46" s="78">
        <f>'Данные'!Q15/INDEX($D15:$O15,'Данные'!Q$5)</f>
        <v>5069.3371779699</v>
      </c>
      <c r="P46" s="78">
        <f>'Данные'!R15/INDEX($D15:$O15,'Данные'!R$5)</f>
        <v>4970.27324534781</v>
      </c>
      <c r="Q46" s="78">
        <f>'Данные'!S15/INDEX($D15:$O15,'Данные'!S$5)</f>
        <v>5145.10880412657</v>
      </c>
      <c r="R46" s="78">
        <f>'Данные'!T15/INDEX($D15:$O15,'Данные'!T$5)</f>
        <v>4993.37153670077</v>
      </c>
      <c r="S46" s="78">
        <f>'Данные'!U15/INDEX($D15:$O15,'Данные'!U$5)</f>
        <v>5401.17634212937</v>
      </c>
      <c r="T46" s="78">
        <f>'Данные'!V15/INDEX($D15:$O15,'Данные'!V$5)</f>
        <v>5404.38809465491</v>
      </c>
      <c r="U46" s="78">
        <f>'Данные'!W15/INDEX($D15:$O15,'Данные'!W$5)</f>
        <v>5124.50326930054</v>
      </c>
      <c r="V46" s="78">
        <f>'Данные'!X15/INDEX($D15:$O15,'Данные'!X$5)</f>
        <v>5111.09491005559</v>
      </c>
      <c r="W46" s="78">
        <f>'Данные'!Y15/INDEX($D15:$O15,'Данные'!Y$5)</f>
        <v>5237.96894459241</v>
      </c>
      <c r="X46" s="78">
        <f>'Данные'!Z15/INDEX($D15:$O15,'Данные'!Z$5)</f>
        <v>5323.986359126</v>
      </c>
      <c r="Y46" s="78">
        <f>'Данные'!AA15/INDEX($D15:$O15,'Данные'!AA$5)</f>
        <v>5060.71567350438</v>
      </c>
      <c r="Z46" s="78">
        <f>'Данные'!AB15/INDEX($D15:$O15,'Данные'!AB$5)</f>
        <v>5284.51654645623</v>
      </c>
      <c r="AA46" s="78">
        <f>'Данные'!AC15/INDEX($D15:$O15,'Данные'!AC$5)</f>
        <v>5292.84273199669</v>
      </c>
    </row>
    <row r="47" ht="17" customHeight="1">
      <c r="A47" s="72" t="str">
        <f>'Данные'!A16</f>
        <v>TEA-10</v>
      </c>
      <c r="B47" s="73" t="str">
        <f>'Данные'!B16</f>
        <v>Чай зелёный «Сенча», 500 г</v>
      </c>
      <c r="C47" s="74" t="str">
        <f>'Данные'!D16</f>
        <v>уп.</v>
      </c>
      <c r="D47" s="79">
        <f>'Данные'!F16/INDEX($D16:$O16,'Данные'!F$5)</f>
        <v>22.9831455860913</v>
      </c>
      <c r="E47" s="79">
        <f>'Данные'!G16/INDEX($D16:$O16,'Данные'!G$5)</f>
        <v>22.6433822162917</v>
      </c>
      <c r="F47" s="79">
        <f>'Данные'!H16/INDEX($D16:$O16,'Данные'!H$5)</f>
        <v>22.3214701920754</v>
      </c>
      <c r="G47" s="79">
        <f>'Данные'!I16/INDEX($D16:$O16,'Данные'!I$5)</f>
        <v>20.821995723541</v>
      </c>
      <c r="H47" s="79">
        <f>'Данные'!J16/INDEX($D16:$O16,'Данные'!J$5)</f>
        <v>20.9255633959672</v>
      </c>
      <c r="I47" s="79">
        <f>'Данные'!K16/INDEX($D16:$O16,'Данные'!K$5)</f>
        <v>22.0124481550567</v>
      </c>
      <c r="J47" s="79">
        <f>'Данные'!L16/INDEX($D16:$O16,'Данные'!L$5)</f>
        <v>21.9950905157579</v>
      </c>
      <c r="K47" s="79">
        <f>'Данные'!M16/INDEX($D16:$O16,'Данные'!M$5)</f>
        <v>25.5601016657686</v>
      </c>
      <c r="L47" s="79">
        <f>'Данные'!N16/INDEX($D16:$O16,'Данные'!N$5)</f>
        <v>25.2476460566253</v>
      </c>
      <c r="M47" s="79">
        <f>'Данные'!O16/INDEX($D16:$O16,'Данные'!O$5)</f>
        <v>24.7803420283787</v>
      </c>
      <c r="N47" s="79">
        <f>'Данные'!P16/INDEX($D16:$O16,'Данные'!P$5)</f>
        <v>25.2159676498858</v>
      </c>
      <c r="O47" s="79">
        <f>'Данные'!Q16/INDEX($D16:$O16,'Данные'!Q$5)</f>
        <v>23.4390268611196</v>
      </c>
      <c r="P47" s="79">
        <f>'Данные'!R16/INDEX($D16:$O16,'Данные'!R$5)</f>
        <v>22.9831455860913</v>
      </c>
      <c r="Q47" s="79">
        <f>'Данные'!S16/INDEX($D16:$O16,'Данные'!S$5)</f>
        <v>24.2049947829325</v>
      </c>
      <c r="R47" s="79">
        <f>'Данные'!T16/INDEX($D16:$O16,'Данные'!T$5)</f>
        <v>25.4002936668445</v>
      </c>
      <c r="S47" s="79">
        <f>'Данные'!U16/INDEX($D16:$O16,'Данные'!U$5)</f>
        <v>28.0019942489</v>
      </c>
      <c r="T47" s="79">
        <f>'Данные'!V16/INDEX($D16:$O16,'Данные'!V$5)</f>
        <v>28.6757720611402</v>
      </c>
      <c r="U47" s="79">
        <f>'Данные'!W16/INDEX($D16:$O16,'Данные'!W$5)</f>
        <v>28.1759336384726</v>
      </c>
      <c r="V47" s="79">
        <f>'Данные'!X16/INDEX($D16:$O16,'Данные'!X$5)</f>
        <v>28.9935284071354</v>
      </c>
      <c r="W47" s="79">
        <f>'Данные'!Y16/INDEX($D16:$O16,'Данные'!Y$5)</f>
        <v>25.5601016657686</v>
      </c>
      <c r="X47" s="79">
        <f>'Данные'!Z16/INDEX($D16:$O16,'Данные'!Z$5)</f>
        <v>26.7328017070151</v>
      </c>
      <c r="Y47" s="79">
        <f>'Данные'!AA16/INDEX($D16:$O16,'Данные'!AA$5)</f>
        <v>28.0843876321625</v>
      </c>
      <c r="Z47" s="79">
        <f>'Данные'!AB16/INDEX($D16:$O16,'Данные'!AB$5)</f>
        <v>28.3679636061215</v>
      </c>
      <c r="AA47" s="79">
        <f>'Данные'!AC16/INDEX($D16:$O16,'Данные'!AC$5)</f>
        <v>31.2520358148261</v>
      </c>
    </row>
    <row r="48" ht="17" customHeight="1">
      <c r="A48" s="60" t="str">
        <f>'Данные'!A17</f>
        <v>ICE-11</v>
      </c>
      <c r="B48" s="61" t="str">
        <f>'Данные'!B17</f>
        <v>Лёд пищевой, кубики</v>
      </c>
      <c r="C48" s="62" t="str">
        <f>'Данные'!D17</f>
        <v>кг</v>
      </c>
      <c r="D48" s="78">
        <f>'Данные'!F17/INDEX($D17:$O17,'Данные'!F$5)</f>
        <v>495.268745654983</v>
      </c>
      <c r="E48" s="78">
        <f>'Данные'!G17/INDEX($D17:$O17,'Данные'!G$5)</f>
        <v>454.663098659919</v>
      </c>
      <c r="F48" s="78">
        <f>'Данные'!H17/INDEX($D17:$O17,'Данные'!H$5)</f>
        <v>444.077082516268</v>
      </c>
      <c r="G48" s="78">
        <f>'Данные'!I17/INDEX($D17:$O17,'Данные'!I$5)</f>
        <v>437.124650360401</v>
      </c>
      <c r="H48" s="78">
        <f>'Данные'!J17/INDEX($D17:$O17,'Данные'!J$5)</f>
        <v>391.351361822666</v>
      </c>
      <c r="I48" s="78">
        <f>'Данные'!K17/INDEX($D17:$O17,'Данные'!K$5)</f>
        <v>403.25619685662</v>
      </c>
      <c r="J48" s="78">
        <f>'Данные'!L17/INDEX($D17:$O17,'Данные'!L$5)</f>
        <v>417.017298599068</v>
      </c>
      <c r="K48" s="78">
        <f>'Данные'!M17/INDEX($D17:$O17,'Данные'!M$5)</f>
        <v>440.597868831522</v>
      </c>
      <c r="L48" s="78">
        <f>'Данные'!N17/INDEX($D17:$O17,'Данные'!N$5)</f>
        <v>433.656923337293</v>
      </c>
      <c r="M48" s="78">
        <f>'Данные'!O17/INDEX($D17:$O17,'Данные'!O$5)</f>
        <v>487.975190806536</v>
      </c>
      <c r="N48" s="78">
        <f>'Данные'!P17/INDEX($D17:$O17,'Данные'!P$5)</f>
        <v>503.351476567397</v>
      </c>
      <c r="O48" s="78">
        <f>'Данные'!Q17/INDEX($D17:$O17,'Данные'!Q$5)</f>
        <v>423.443059382001</v>
      </c>
      <c r="P48" s="78">
        <f>'Данные'!R17/INDEX($D17:$O17,'Данные'!R$5)</f>
        <v>411.454034851832</v>
      </c>
      <c r="Q48" s="78">
        <f>'Данные'!S17/INDEX($D17:$O17,'Данные'!S$5)</f>
        <v>454.663098659919</v>
      </c>
      <c r="R48" s="78">
        <f>'Данные'!T17/INDEX($D17:$O17,'Данные'!T$5)</f>
        <v>467.179358485322</v>
      </c>
      <c r="S48" s="78">
        <f>'Данные'!U17/INDEX($D17:$O17,'Данные'!U$5)</f>
        <v>475.980174836881</v>
      </c>
      <c r="T48" s="78">
        <f>'Данные'!V17/INDEX($D17:$O17,'Данные'!V$5)</f>
        <v>524.464069925614</v>
      </c>
      <c r="U48" s="78">
        <f>'Данные'!W17/INDEX($D17:$O17,'Данные'!W$5)</f>
        <v>513.986382059053</v>
      </c>
      <c r="V48" s="78">
        <f>'Данные'!X17/INDEX($D17:$O17,'Данные'!X$5)</f>
        <v>501.612236314879</v>
      </c>
      <c r="W48" s="78">
        <f>'Данные'!Y17/INDEX($D17:$O17,'Данные'!Y$5)</f>
        <v>479.202634481522</v>
      </c>
      <c r="X48" s="78">
        <f>'Данные'!Z17/INDEX($D17:$O17,'Данные'!Z$5)</f>
        <v>487.989809323868</v>
      </c>
      <c r="Y48" s="78">
        <f>'Данные'!AA17/INDEX($D17:$O17,'Данные'!AA$5)</f>
        <v>434.168040489466</v>
      </c>
      <c r="Z48" s="78">
        <f>'Данные'!AB17/INDEX($D17:$O17,'Данные'!AB$5)</f>
        <v>420.148614424326</v>
      </c>
      <c r="AA48" s="78">
        <f>'Данные'!AC17/INDEX($D17:$O17,'Данные'!AC$5)</f>
        <v>503.505822710531</v>
      </c>
    </row>
    <row r="49" ht="17" customHeight="1">
      <c r="A49" s="72" t="str">
        <f>'Данные'!A18</f>
        <v>CHO-12</v>
      </c>
      <c r="B49" s="73" t="str">
        <f>'Данные'!B18</f>
        <v>Шоколад для горячего шоколада</v>
      </c>
      <c r="C49" s="74" t="str">
        <f>'Данные'!D18</f>
        <v>кг</v>
      </c>
      <c r="D49" s="79">
        <f>'Данные'!F18/INDEX($D18:$O18,'Данные'!F$5)</f>
        <v>23.8980531672661</v>
      </c>
      <c r="E49" s="79">
        <f>'Данные'!G18/INDEX($D18:$O18,'Данные'!G$5)</f>
        <v>22.3902528101883</v>
      </c>
      <c r="F49" s="79">
        <f>'Данные'!H18/INDEX($D18:$O18,'Данные'!H$5)</f>
        <v>23.2228921317748</v>
      </c>
      <c r="G49" s="79">
        <f>'Данные'!I18/INDEX($D18:$O18,'Данные'!I$5)</f>
        <v>21.9293983425724</v>
      </c>
      <c r="H49" s="79">
        <f>'Данные'!J18/INDEX($D18:$O18,'Данные'!J$5)</f>
        <v>22.9959317443082</v>
      </c>
      <c r="I49" s="79">
        <f>'Данные'!K18/INDEX($D18:$O18,'Данные'!K$5)</f>
        <v>24.3228408015778</v>
      </c>
      <c r="J49" s="79">
        <f>'Данные'!L18/INDEX($D18:$O18,'Данные'!L$5)</f>
        <v>24.9077889259578</v>
      </c>
      <c r="K49" s="79">
        <f>'Данные'!M18/INDEX($D18:$O18,'Данные'!M$5)</f>
        <v>27.3963756183661</v>
      </c>
      <c r="L49" s="79">
        <f>'Данные'!N18/INDEX($D18:$O18,'Данные'!N$5)</f>
        <v>22.3218053751534</v>
      </c>
      <c r="M49" s="79">
        <f>'Данные'!O18/INDEX($D18:$O18,'Данные'!O$5)</f>
        <v>25.4126058686281</v>
      </c>
      <c r="N49" s="79">
        <f>'Данные'!P18/INDEX($D18:$O18,'Данные'!P$5)</f>
        <v>24.5963452886697</v>
      </c>
      <c r="O49" s="79">
        <f>'Данные'!Q18/INDEX($D18:$O18,'Данные'!Q$5)</f>
        <v>25.1450777763911</v>
      </c>
      <c r="P49" s="79">
        <f>'Данные'!R18/INDEX($D18:$O18,'Данные'!R$5)</f>
        <v>23.8980531672661</v>
      </c>
      <c r="Q49" s="79">
        <f>'Данные'!S18/INDEX($D18:$O18,'Данные'!S$5)</f>
        <v>25.8887298117802</v>
      </c>
      <c r="R49" s="79">
        <f>'Данные'!T18/INDEX($D18:$O18,'Данные'!T$5)</f>
        <v>25.3340641437543</v>
      </c>
      <c r="S49" s="79">
        <f>'Данные'!U18/INDEX($D18:$O18,'Данные'!U$5)</f>
        <v>27.0892567761189</v>
      </c>
      <c r="T49" s="79">
        <f>'Данные'!V18/INDEX($D18:$O18,'Данные'!V$5)</f>
        <v>26.2810648506379</v>
      </c>
      <c r="U49" s="79">
        <f>'Данные'!W18/INDEX($D18:$O18,'Данные'!W$5)</f>
        <v>25.1915136873485</v>
      </c>
      <c r="V49" s="79">
        <f>'Данные'!X18/INDEX($D18:$O18,'Данные'!X$5)</f>
        <v>24.9077889259578</v>
      </c>
      <c r="W49" s="79">
        <f>'Данные'!Y18/INDEX($D18:$O18,'Данные'!Y$5)</f>
        <v>22.5617210974779</v>
      </c>
      <c r="X49" s="79">
        <f>'Данные'!Z18/INDEX($D18:$O18,'Данные'!Z$5)</f>
        <v>28.4095704774679</v>
      </c>
      <c r="Y49" s="79">
        <f>'Данные'!AA18/INDEX($D18:$O18,'Данные'!AA$5)</f>
        <v>25.4126058686281</v>
      </c>
      <c r="Z49" s="79">
        <f>'Данные'!AB18/INDEX($D18:$O18,'Данные'!AB$5)</f>
        <v>26.6460407293921</v>
      </c>
      <c r="AA49" s="79">
        <f>'Данные'!AC18/INDEX($D18:$O18,'Данные'!AC$5)</f>
        <v>26.4023316652106</v>
      </c>
    </row>
  </sheetData>
  <conditionalFormatting sqref="D7:O18">
    <cfRule type="colorScale" priority="1">
      <colorScale>
        <cfvo type="num" val="0.4"/>
        <cfvo type="num" val="1"/>
        <cfvo type="num" val="1.6"/>
        <color rgb="006DA7EC"/>
        <color rgb="00F7F6F2"/>
        <color rgb="00EE8A86"/>
      </colorScale>
    </cfRule>
  </conditionalFormatting>
  <printOptions horizontalCentered="1" headings="0"/>
  <pageMargins left="0.25" right="0.25" top="0.25" bottom="0.25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2A78D6"/>
    <outlinePr summaryBelow="1" summaryRight="1"/>
    <pageSetUpPr fitToPage="1"/>
  </sheetPr>
  <dimension ref="A1:AA3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3" customWidth="1" min="2" max="2"/>
    <col width="6" customWidth="1" min="3" max="3"/>
    <col width="8.6" customWidth="1" min="4" max="4"/>
    <col width="8.6" customWidth="1" min="5" max="5"/>
    <col width="8.6" customWidth="1" min="6" max="6"/>
    <col width="8.6" customWidth="1" min="7" max="7"/>
    <col width="8.6" customWidth="1" min="8" max="8"/>
    <col width="8.6" customWidth="1" min="9" max="9"/>
    <col width="8.6" customWidth="1" min="10" max="10"/>
    <col width="8.6" customWidth="1" min="11" max="11"/>
    <col width="8.6" customWidth="1" min="12" max="12"/>
    <col width="8.6" customWidth="1" min="13" max="13"/>
    <col width="8.6" customWidth="1" min="14" max="14"/>
    <col width="8.6" customWidth="1" min="15" max="15"/>
    <col width="10.5" customWidth="1" min="16" max="16"/>
    <col width="10.5" customWidth="1" min="17" max="17"/>
    <col width="8.5" customWidth="1" min="18" max="18"/>
    <col width="11" customWidth="1" min="19" max="19"/>
    <col width="8.5" customWidth="1" min="20" max="20"/>
    <col width="10" customWidth="1" min="21" max="21"/>
    <col width="15" customWidth="1" min="22" max="22"/>
  </cols>
  <sheetData>
    <row r="1" ht="26" customHeight="1">
      <c r="A1" s="36" t="inlineStr">
        <is>
          <t>Прогноз спроса на 12 месяцев, ед.</t>
        </is>
      </c>
    </row>
    <row r="2" ht="17" customHeight="1">
      <c r="A2" s="37" t="inlineStr">
        <is>
          <t>Модель: линейный тренд ПРЕДСКАЗ.ЛИНЕЙН по ряду без сезонности × сезонный индекс месяца · горизонт: октябрь 2026 — сентябрь 2027</t>
        </is>
      </c>
    </row>
    <row r="3" ht="15" customHeight="1">
      <c r="A3" s="38" t="inlineStr">
        <is>
          <r>
            <rPr>
              <rFont val="Calibri"/>
              <color rgb="00898781"/>
              <sz val="9"/>
            </rPr>
            <t xml:space="preserve">Обозначения:  </t>
          </r>
          <r>
            <rPr>
              <rFont val="Calibri"/>
              <b val="1"/>
              <color rgb="000000FF"/>
              <sz val="9"/>
            </rPr>
            <t>синий</t>
          </r>
          <r>
            <rPr>
              <rFont val="Calibri"/>
              <color rgb="00898781"/>
              <sz val="9"/>
            </rPr>
            <t xml:space="preserve"> — исходные данные и параметры (ввод),  </t>
          </r>
          <r>
            <rPr>
              <rFont val="Calibri"/>
              <b val="1"/>
              <color rgb="001F2328"/>
              <sz val="9"/>
            </rPr>
            <t>чёрный</t>
          </r>
          <r>
            <rPr>
              <rFont val="Calibri"/>
              <color rgb="00898781"/>
              <sz val="9"/>
            </rPr>
            <t xml:space="preserve"> — формулы,  </t>
          </r>
          <r>
            <rPr>
              <rFont val="Calibri"/>
              <b val="1"/>
              <color rgb="00008000"/>
              <sz val="9"/>
            </rPr>
            <t>зелёный</t>
          </r>
          <r>
            <rPr>
              <rFont val="Calibri"/>
              <color rgb="00898781"/>
              <sz val="9"/>
            </rPr>
            <t xml:space="preserve"> — ссылки на другие листы,  жёлтая заливка — ячейки для ввода</t>
          </r>
        </is>
      </c>
    </row>
    <row r="4" ht="12" customHeight="1">
      <c r="C4" s="39" t="inlineStr">
        <is>
          <t>период t</t>
        </is>
      </c>
      <c r="D4" s="40">
        <f>MAX(Periods)+1</f>
        <v>25</v>
      </c>
      <c r="E4" s="40">
        <f>D4+1</f>
        <v>26</v>
      </c>
      <c r="F4" s="40">
        <f>E4+1</f>
        <v>27</v>
      </c>
      <c r="G4" s="40">
        <f>F4+1</f>
        <v>28</v>
      </c>
      <c r="H4" s="40">
        <f>G4+1</f>
        <v>29</v>
      </c>
      <c r="I4" s="40">
        <f>H4+1</f>
        <v>30</v>
      </c>
      <c r="J4" s="40">
        <f>I4+1</f>
        <v>31</v>
      </c>
      <c r="K4" s="40">
        <f>J4+1</f>
        <v>32</v>
      </c>
      <c r="L4" s="40">
        <f>K4+1</f>
        <v>33</v>
      </c>
      <c r="M4" s="40">
        <f>L4+1</f>
        <v>34</v>
      </c>
      <c r="N4" s="40">
        <f>M4+1</f>
        <v>35</v>
      </c>
      <c r="O4" s="40">
        <f>N4+1</f>
        <v>36</v>
      </c>
    </row>
    <row r="5" ht="12" customHeight="1">
      <c r="C5" s="39" t="inlineStr">
        <is>
          <t>месяц №</t>
        </is>
      </c>
      <c r="D5" s="40">
        <f>MONTH(D6)</f>
        <v>10</v>
      </c>
      <c r="E5" s="40">
        <f>MONTH(E6)</f>
        <v>11</v>
      </c>
      <c r="F5" s="40">
        <f>MONTH(F6)</f>
        <v>12</v>
      </c>
      <c r="G5" s="40">
        <f>MONTH(G6)</f>
        <v>1</v>
      </c>
      <c r="H5" s="40">
        <f>MONTH(H6)</f>
        <v>2</v>
      </c>
      <c r="I5" s="40">
        <f>MONTH(I6)</f>
        <v>3</v>
      </c>
      <c r="J5" s="40">
        <f>MONTH(J6)</f>
        <v>4</v>
      </c>
      <c r="K5" s="40">
        <f>MONTH(K6)</f>
        <v>5</v>
      </c>
      <c r="L5" s="40">
        <f>MONTH(L6)</f>
        <v>6</v>
      </c>
      <c r="M5" s="40">
        <f>MONTH(M6)</f>
        <v>7</v>
      </c>
      <c r="N5" s="40">
        <f>MONTH(N6)</f>
        <v>8</v>
      </c>
      <c r="O5" s="40">
        <f>MONTH(O6)</f>
        <v>9</v>
      </c>
    </row>
    <row r="6" ht="44" customHeight="1">
      <c r="A6" s="41" t="inlineStr">
        <is>
          <t>Код</t>
        </is>
      </c>
      <c r="B6" s="68" t="inlineStr">
        <is>
          <t>Наименование</t>
        </is>
      </c>
      <c r="C6" s="41" t="inlineStr">
        <is>
          <t>Ед.</t>
        </is>
      </c>
      <c r="D6" s="43">
        <f>EDATE('Данные'!$AC$6,1)</f>
        <v>46296.0</v>
      </c>
      <c r="E6" s="43">
        <f>EDATE(D6,1)</f>
        <v>46327.0</v>
      </c>
      <c r="F6" s="43">
        <f>EDATE(E6,1)</f>
        <v>46357.0</v>
      </c>
      <c r="G6" s="43">
        <f>EDATE(F6,1)</f>
        <v>46388.0</v>
      </c>
      <c r="H6" s="43">
        <f>EDATE(G6,1)</f>
        <v>46419.0</v>
      </c>
      <c r="I6" s="43">
        <f>EDATE(H6,1)</f>
        <v>46447.0</v>
      </c>
      <c r="J6" s="43">
        <f>EDATE(I6,1)</f>
        <v>46478.0</v>
      </c>
      <c r="K6" s="43">
        <f>EDATE(J6,1)</f>
        <v>46508.0</v>
      </c>
      <c r="L6" s="43">
        <f>EDATE(K6,1)</f>
        <v>46539.0</v>
      </c>
      <c r="M6" s="43">
        <f>EDATE(L6,1)</f>
        <v>46569.0</v>
      </c>
      <c r="N6" s="43">
        <f>EDATE(M6,1)</f>
        <v>46600.0</v>
      </c>
      <c r="O6" s="43">
        <f>EDATE(N6,1)</f>
        <v>46631.0</v>
      </c>
      <c r="P6" s="41" t="inlineStr">
        <is>
          <t>Прогноз 12 мес., ед.</t>
        </is>
      </c>
      <c r="Q6" s="41" t="inlineStr">
        <is>
          <t>Факт пред. 12 мес., ед.</t>
        </is>
      </c>
      <c r="R6" s="41" t="inlineStr">
        <is>
          <t>Δ к факту</t>
        </is>
      </c>
      <c r="S6" s="41" t="inlineStr">
        <is>
          <t>Закупки 12 мес., тыс. ₽</t>
        </is>
      </c>
      <c r="T6" s="41" t="inlineStr">
        <is>
          <t>Ошибка модели, WAPE</t>
        </is>
      </c>
      <c r="U6" s="41" t="inlineStr">
        <is>
          <t>σ ошибки, ед./мес.</t>
        </is>
      </c>
      <c r="V6" s="41" t="inlineStr">
        <is>
          <t>Профиль прогноза по месяцам</t>
        </is>
      </c>
    </row>
    <row r="7" ht="17" customHeight="1">
      <c r="A7" s="60" t="str">
        <f>'Данные'!A7</f>
        <v>ESP-01</v>
      </c>
      <c r="B7" s="61" t="str">
        <f>'Данные'!B7</f>
        <v>Зерно «Эспрессо-бленд»</v>
      </c>
      <c r="C7" s="62" t="str">
        <f>'Данные'!D7</f>
        <v>кг</v>
      </c>
      <c r="D7" s="80">
        <f>MAX(0,_xlfn.FORECAST.LINEAR(D$4,'Сезонность'!$D38:$AA38,Periods))*INDEX('Сезонность'!$D7:$O7,D$5)</f>
        <v>419.790124109452</v>
      </c>
      <c r="E7" s="80">
        <f>MAX(0,_xlfn.FORECAST.LINEAR(E$4,'Сезонность'!$D38:$AA38,Periods))*INDEX('Сезонность'!$D7:$O7,E$5)</f>
        <v>433.555039794084</v>
      </c>
      <c r="F7" s="80">
        <f>MAX(0,_xlfn.FORECAST.LINEAR(F$4,'Сезонность'!$D38:$AA38,Periods))*INDEX('Сезонность'!$D7:$O7,F$5)</f>
        <v>437.64657762009</v>
      </c>
      <c r="G7" s="80">
        <f>MAX(0,_xlfn.FORECAST.LINEAR(G$4,'Сезонность'!$D38:$AA38,Periods))*INDEX('Сезонность'!$D7:$O7,G$5)</f>
        <v>385.082856012124</v>
      </c>
      <c r="H7" s="80">
        <f>MAX(0,_xlfn.FORECAST.LINEAR(H$4,'Сезонность'!$D38:$AA38,Periods))*INDEX('Сезонность'!$D7:$O7,H$5)</f>
        <v>400.036449854847</v>
      </c>
      <c r="I7" s="80">
        <f>MAX(0,_xlfn.FORECAST.LINEAR(I$4,'Сезонность'!$D38:$AA38,Periods))*INDEX('Сезонность'!$D7:$O7,I$5)</f>
        <v>422.947837407279</v>
      </c>
      <c r="J7" s="80">
        <f>MAX(0,_xlfn.FORECAST.LINEAR(J$4,'Сезонность'!$D38:$AA38,Periods))*INDEX('Сезонность'!$D7:$O7,J$5)</f>
        <v>416.303350569773</v>
      </c>
      <c r="K7" s="80">
        <f>MAX(0,_xlfn.FORECAST.LINEAR(K$4,'Сезонность'!$D38:$AA38,Periods))*INDEX('Сезонность'!$D7:$O7,K$5)</f>
        <v>405.526588439643</v>
      </c>
      <c r="L7" s="80">
        <f>MAX(0,_xlfn.FORECAST.LINEAR(L$4,'Сезонность'!$D38:$AA38,Periods))*INDEX('Сезонность'!$D7:$O7,L$5)</f>
        <v>394.011053255842</v>
      </c>
      <c r="M7" s="80">
        <f>MAX(0,_xlfn.FORECAST.LINEAR(M$4,'Сезонность'!$D38:$AA38,Periods))*INDEX('Сезонность'!$D7:$O7,M$5)</f>
        <v>391.356891233147</v>
      </c>
      <c r="N7" s="80">
        <f>MAX(0,_xlfn.FORECAST.LINEAR(N$4,'Сезонность'!$D38:$AA38,Periods))*INDEX('Сезонность'!$D7:$O7,N$5)</f>
        <v>401.965125195395</v>
      </c>
      <c r="O7" s="80">
        <f>MAX(0,_xlfn.FORECAST.LINEAR(O$4,'Сезонность'!$D38:$AA38,Periods))*INDEX('Сезонность'!$D7:$O7,O$5)</f>
        <v>442.174455315007</v>
      </c>
      <c r="P7" s="81">
        <f>SUM(D7:O7)</f>
        <v>4950.39634880668</v>
      </c>
      <c r="Q7" s="82">
        <f>SUM('Данные'!R7:AC7)</f>
        <v>4659</v>
      </c>
      <c r="R7" s="83">
        <f>P7/Q7-1</f>
        <v>0.0625448269600095</v>
      </c>
      <c r="S7" s="80">
        <f>P7*'Данные'!E7/1000</f>
        <v>8316.66586599523</v>
      </c>
      <c r="T7" s="84">
        <f>SUMPRODUCT(ABS('Данные'!$F7:$AC7-$D25:$AA25))/SUM('Данные'!$F7:$AC7)</f>
        <v>0.0161343270775235</v>
      </c>
      <c r="U7" s="85">
        <f>SQRT(SUMXMY2('Данные'!$F7:$AC7,$D25:$AA25)/COUNT('Данные'!$F7:$AC7))</f>
        <v>7.41157627946307</v>
      </c>
      <c r="V7" s="49" t="n"/>
    </row>
    <row r="8" ht="17" customHeight="1">
      <c r="A8" s="72" t="str">
        <f>'Данные'!A8</f>
        <v>FLT-02</v>
      </c>
      <c r="B8" s="73" t="str">
        <f>'Данные'!B8</f>
        <v>Зерно «Эфиопия Иргачеффе», фильтр</v>
      </c>
      <c r="C8" s="74" t="str">
        <f>'Данные'!D8</f>
        <v>кг</v>
      </c>
      <c r="D8" s="86">
        <f>MAX(0,_xlfn.FORECAST.LINEAR(D$4,'Сезонность'!$D39:$AA39,Periods))*INDEX('Сезонность'!$D8:$O8,D$5)</f>
        <v>46.6377764498922</v>
      </c>
      <c r="E8" s="86">
        <f>MAX(0,_xlfn.FORECAST.LINEAR(E$4,'Сезонность'!$D39:$AA39,Periods))*INDEX('Сезонность'!$D8:$O8,E$5)</f>
        <v>47.2956108853819</v>
      </c>
      <c r="F8" s="86">
        <f>MAX(0,_xlfn.FORECAST.LINEAR(F$4,'Сезонность'!$D39:$AA39,Periods))*INDEX('Сезонность'!$D8:$O8,F$5)</f>
        <v>46.6342386546026</v>
      </c>
      <c r="G8" s="86">
        <f>MAX(0,_xlfn.FORECAST.LINEAR(G$4,'Сезонность'!$D39:$AA39,Periods))*INDEX('Сезонность'!$D8:$O8,G$5)</f>
        <v>51.1586011688673</v>
      </c>
      <c r="H8" s="86">
        <f>MAX(0,_xlfn.FORECAST.LINEAR(H$4,'Сезонность'!$D39:$AA39,Periods))*INDEX('Сезонность'!$D8:$O8,H$5)</f>
        <v>46.8994694446079</v>
      </c>
      <c r="I8" s="86">
        <f>MAX(0,_xlfn.FORECAST.LINEAR(I$4,'Сезонность'!$D39:$AA39,Periods))*INDEX('Сезонность'!$D8:$O8,I$5)</f>
        <v>48.9514705090098</v>
      </c>
      <c r="J8" s="86">
        <f>MAX(0,_xlfn.FORECAST.LINEAR(J$4,'Сезонность'!$D39:$AA39,Periods))*INDEX('Сезонность'!$D8:$O8,J$5)</f>
        <v>47.9857643548002</v>
      </c>
      <c r="K8" s="86">
        <f>MAX(0,_xlfn.FORECAST.LINEAR(K$4,'Сезонность'!$D39:$AA39,Periods))*INDEX('Сезонность'!$D8:$O8,K$5)</f>
        <v>59.8502693217059</v>
      </c>
      <c r="L8" s="86">
        <f>MAX(0,_xlfn.FORECAST.LINEAR(L$4,'Сезонность'!$D39:$AA39,Periods))*INDEX('Сезонность'!$D8:$O8,L$5)</f>
        <v>59.7762698789112</v>
      </c>
      <c r="M8" s="86">
        <f>MAX(0,_xlfn.FORECAST.LINEAR(M$4,'Сезонность'!$D39:$AA39,Periods))*INDEX('Сезонность'!$D8:$O8,M$5)</f>
        <v>62.7001821705949</v>
      </c>
      <c r="N8" s="86">
        <f>MAX(0,_xlfn.FORECAST.LINEAR(N$4,'Сезонность'!$D39:$AA39,Periods))*INDEX('Сезонность'!$D8:$O8,N$5)</f>
        <v>61.3112663070146</v>
      </c>
      <c r="O8" s="86">
        <f>MAX(0,_xlfn.FORECAST.LINEAR(O$4,'Сезонность'!$D39:$AA39,Periods))*INDEX('Сезонность'!$D8:$O8,O$5)</f>
        <v>54.4404650558708</v>
      </c>
      <c r="P8" s="87">
        <f>SUM(D8:O8)</f>
        <v>633.64138420126</v>
      </c>
      <c r="Q8" s="88">
        <f>SUM('Данные'!R8:AC8)</f>
        <v>545</v>
      </c>
      <c r="R8" s="89">
        <f>P8/Q8-1</f>
        <v>0.162644741653687</v>
      </c>
      <c r="S8" s="86">
        <f>P8*'Данные'!E8/1000</f>
        <v>1552.42139129309</v>
      </c>
      <c r="T8" s="90">
        <f>SUMPRODUCT(ABS('Данные'!$F8:$AC8-$D26:$AA26))/SUM('Данные'!$F8:$AC8)</f>
        <v>0.0364155153772543</v>
      </c>
      <c r="U8" s="91">
        <f>SQRT(SUMXMY2('Данные'!$F8:$AC8,$D26:$AA26)/COUNT('Данные'!$F8:$AC8))</f>
        <v>2.07293574143403</v>
      </c>
      <c r="V8" s="55" t="n"/>
    </row>
    <row r="9" ht="17" customHeight="1">
      <c r="A9" s="60" t="str">
        <f>'Данные'!A9</f>
        <v>MLK-03</v>
      </c>
      <c r="B9" s="61" t="str">
        <f>'Данные'!B9</f>
        <v>Молоко 3,2 %</v>
      </c>
      <c r="C9" s="62" t="str">
        <f>'Данные'!D9</f>
        <v>л</v>
      </c>
      <c r="D9" s="80">
        <f>MAX(0,_xlfn.FORECAST.LINEAR(D$4,'Сезонность'!$D40:$AA40,Periods))*INDEX('Сезонность'!$D9:$O9,D$5)</f>
        <v>3745.04725981123</v>
      </c>
      <c r="E9" s="80">
        <f>MAX(0,_xlfn.FORECAST.LINEAR(E$4,'Сезонность'!$D40:$AA40,Periods))*INDEX('Сезонность'!$D9:$O9,E$5)</f>
        <v>3845.55327963059</v>
      </c>
      <c r="F9" s="80">
        <f>MAX(0,_xlfn.FORECAST.LINEAR(F$4,'Сезонность'!$D40:$AA40,Periods))*INDEX('Сезонность'!$D9:$O9,F$5)</f>
        <v>3886.93757430765</v>
      </c>
      <c r="G9" s="80">
        <f>MAX(0,_xlfn.FORECAST.LINEAR(G$4,'Сезонность'!$D40:$AA40,Periods))*INDEX('Сезонность'!$D9:$O9,G$5)</f>
        <v>3191.39023105414</v>
      </c>
      <c r="H9" s="80">
        <f>MAX(0,_xlfn.FORECAST.LINEAR(H$4,'Сезонность'!$D40:$AA40,Periods))*INDEX('Сезонность'!$D9:$O9,H$5)</f>
        <v>3282.01792404651</v>
      </c>
      <c r="I9" s="80">
        <f>MAX(0,_xlfn.FORECAST.LINEAR(I$4,'Сезонность'!$D40:$AA40,Periods))*INDEX('Сезонность'!$D9:$O9,I$5)</f>
        <v>3748.18251974917</v>
      </c>
      <c r="J9" s="80">
        <f>MAX(0,_xlfn.FORECAST.LINEAR(J$4,'Сезонность'!$D40:$AA40,Periods))*INDEX('Сезонность'!$D9:$O9,J$5)</f>
        <v>3489.89493487466</v>
      </c>
      <c r="K9" s="80">
        <f>MAX(0,_xlfn.FORECAST.LINEAR(K$4,'Сезонность'!$D40:$AA40,Periods))*INDEX('Сезонность'!$D9:$O9,K$5)</f>
        <v>3527.38378963156</v>
      </c>
      <c r="L9" s="80">
        <f>MAX(0,_xlfn.FORECAST.LINEAR(L$4,'Сезонность'!$D40:$AA40,Periods))*INDEX('Сезонность'!$D9:$O9,L$5)</f>
        <v>3283.70784011273</v>
      </c>
      <c r="M9" s="80">
        <f>MAX(0,_xlfn.FORECAST.LINEAR(M$4,'Сезонность'!$D40:$AA40,Periods))*INDEX('Сезонность'!$D9:$O9,M$5)</f>
        <v>3325.17451119467</v>
      </c>
      <c r="N9" s="80">
        <f>MAX(0,_xlfn.FORECAST.LINEAR(N$4,'Сезонность'!$D40:$AA40,Periods))*INDEX('Сезонность'!$D9:$O9,N$5)</f>
        <v>3353.96377874045</v>
      </c>
      <c r="O9" s="80">
        <f>MAX(0,_xlfn.FORECAST.LINEAR(O$4,'Сезонность'!$D40:$AA40,Periods))*INDEX('Сезонность'!$D9:$O9,O$5)</f>
        <v>3634.35026949564</v>
      </c>
      <c r="P9" s="81">
        <f>SUM(D9:O9)</f>
        <v>42313.603912649</v>
      </c>
      <c r="Q9" s="82">
        <f>SUM('Данные'!R9:AC9)</f>
        <v>42111</v>
      </c>
      <c r="R9" s="83">
        <f>P9/Q9-1</f>
        <v>0.00481118740113073</v>
      </c>
      <c r="S9" s="80">
        <f>P9*'Данные'!E9/1000</f>
        <v>3892.85155996371</v>
      </c>
      <c r="T9" s="84">
        <f>SUMPRODUCT(ABS('Данные'!$F9:$AC9-$D27:$AA27))/SUM('Данные'!$F9:$AC9)</f>
        <v>0.0293788897053202</v>
      </c>
      <c r="U9" s="85">
        <f>SQRT(SUMXMY2('Данные'!$F9:$AC9,$D27:$AA27)/COUNT('Данные'!$F9:$AC9))</f>
        <v>112.645716978236</v>
      </c>
      <c r="V9" s="49" t="n"/>
    </row>
    <row r="10" ht="17" customHeight="1">
      <c r="A10" s="72" t="str">
        <f>'Данные'!A10</f>
        <v>OAT-04</v>
      </c>
      <c r="B10" s="73" t="str">
        <f>'Данные'!B10</f>
        <v>Напиток овсяный «Бариста»</v>
      </c>
      <c r="C10" s="74" t="str">
        <f>'Данные'!D10</f>
        <v>л</v>
      </c>
      <c r="D10" s="86">
        <f>MAX(0,_xlfn.FORECAST.LINEAR(D$4,'Сезонность'!$D41:$AA41,Periods))*INDEX('Сезонность'!$D10:$O10,D$5)</f>
        <v>688.709012139269</v>
      </c>
      <c r="E10" s="86">
        <f>MAX(0,_xlfn.FORECAST.LINEAR(E$4,'Сезонность'!$D41:$AA41,Periods))*INDEX('Сезонность'!$D10:$O10,E$5)</f>
        <v>617.964970391462</v>
      </c>
      <c r="F10" s="86">
        <f>MAX(0,_xlfn.FORECAST.LINEAR(F$4,'Сезонность'!$D41:$AA41,Periods))*INDEX('Сезонность'!$D10:$O10,F$5)</f>
        <v>680.984417088081</v>
      </c>
      <c r="G10" s="86">
        <f>MAX(0,_xlfn.FORECAST.LINEAR(G$4,'Сезонность'!$D41:$AA41,Periods))*INDEX('Сезонность'!$D10:$O10,G$5)</f>
        <v>629.957992029169</v>
      </c>
      <c r="H10" s="86">
        <f>MAX(0,_xlfn.FORECAST.LINEAR(H$4,'Сезонность'!$D41:$AA41,Periods))*INDEX('Сезонность'!$D10:$O10,H$5)</f>
        <v>629.797550432476</v>
      </c>
      <c r="I10" s="86">
        <f>MAX(0,_xlfn.FORECAST.LINEAR(I$4,'Сезонность'!$D41:$AA41,Periods))*INDEX('Сезонность'!$D10:$O10,I$5)</f>
        <v>684.512268015543</v>
      </c>
      <c r="J10" s="86">
        <f>MAX(0,_xlfn.FORECAST.LINEAR(J$4,'Сезонность'!$D41:$AA41,Periods))*INDEX('Сезонность'!$D10:$O10,J$5)</f>
        <v>728.736839917687</v>
      </c>
      <c r="K10" s="86">
        <f>MAX(0,_xlfn.FORECAST.LINEAR(K$4,'Сезонность'!$D41:$AA41,Periods))*INDEX('Сезонность'!$D10:$O10,K$5)</f>
        <v>658.314382437811</v>
      </c>
      <c r="L10" s="86">
        <f>MAX(0,_xlfn.FORECAST.LINEAR(L$4,'Сезонность'!$D41:$AA41,Periods))*INDEX('Сезонность'!$D10:$O10,L$5)</f>
        <v>697.753435025328</v>
      </c>
      <c r="M10" s="86">
        <f>MAX(0,_xlfn.FORECAST.LINEAR(M$4,'Сезонность'!$D41:$AA41,Periods))*INDEX('Сезонность'!$D10:$O10,M$5)</f>
        <v>660.487573302275</v>
      </c>
      <c r="N10" s="86">
        <f>MAX(0,_xlfn.FORECAST.LINEAR(N$4,'Сезонность'!$D41:$AA41,Periods))*INDEX('Сезонность'!$D10:$O10,N$5)</f>
        <v>727.252649264411</v>
      </c>
      <c r="O10" s="86">
        <f>MAX(0,_xlfn.FORECAST.LINEAR(O$4,'Сезонность'!$D41:$AA41,Periods))*INDEX('Сезонность'!$D10:$O10,O$5)</f>
        <v>839.08119371674</v>
      </c>
      <c r="P10" s="87">
        <f>SUM(D10:O10)</f>
        <v>8243.55228376025</v>
      </c>
      <c r="Q10" s="88">
        <f>SUM('Данные'!R10:AC10)</f>
        <v>6673</v>
      </c>
      <c r="R10" s="89">
        <f>P10/Q10-1</f>
        <v>0.235359251275326</v>
      </c>
      <c r="S10" s="86">
        <f>P10*'Данные'!E10/1000</f>
        <v>2019.67030952126</v>
      </c>
      <c r="T10" s="90">
        <f>SUMPRODUCT(ABS('Данные'!$F10:$AC10-$D28:$AA28))/SUM('Данные'!$F10:$AC10)</f>
        <v>0.0363436979534255</v>
      </c>
      <c r="U10" s="91">
        <f>SQRT(SUMXMY2('Данные'!$F10:$AC10,$D28:$AA28)/COUNT('Данные'!$F10:$AC10))</f>
        <v>23.4455894198866</v>
      </c>
      <c r="V10" s="55" t="n"/>
    </row>
    <row r="11" ht="17" customHeight="1">
      <c r="A11" s="60" t="str">
        <f>'Данные'!A11</f>
        <v>SYR-05</v>
      </c>
      <c r="B11" s="61" t="str">
        <f>'Данные'!B11</f>
        <v>Сироп «Ваниль», 1 л</v>
      </c>
      <c r="C11" s="62" t="str">
        <f>'Данные'!D11</f>
        <v>бут.</v>
      </c>
      <c r="D11" s="80">
        <f>MAX(0,_xlfn.FORECAST.LINEAR(D$4,'Сезонность'!$D42:$AA42,Periods))*INDEX('Сезонность'!$D11:$O11,D$5)</f>
        <v>43.1933818332193</v>
      </c>
      <c r="E11" s="80">
        <f>MAX(0,_xlfn.FORECAST.LINEAR(E$4,'Сезонность'!$D42:$AA42,Periods))*INDEX('Сезонность'!$D11:$O11,E$5)</f>
        <v>45.3837672117139</v>
      </c>
      <c r="F11" s="80">
        <f>MAX(0,_xlfn.FORECAST.LINEAR(F$4,'Сезонность'!$D42:$AA42,Periods))*INDEX('Сезонность'!$D11:$O11,F$5)</f>
        <v>40.4225826573436</v>
      </c>
      <c r="G11" s="80">
        <f>MAX(0,_xlfn.FORECAST.LINEAR(G$4,'Сезонность'!$D42:$AA42,Periods))*INDEX('Сезонность'!$D11:$O11,G$5)</f>
        <v>36.0819819206307</v>
      </c>
      <c r="H11" s="80">
        <f>MAX(0,_xlfn.FORECAST.LINEAR(H$4,'Сезонность'!$D42:$AA42,Periods))*INDEX('Сезонность'!$D11:$O11,H$5)</f>
        <v>40.7831920119345</v>
      </c>
      <c r="I11" s="80">
        <f>MAX(0,_xlfn.FORECAST.LINEAR(I$4,'Сезонность'!$D42:$AA42,Periods))*INDEX('Сезонность'!$D11:$O11,I$5)</f>
        <v>44.8484995193169</v>
      </c>
      <c r="J11" s="80">
        <f>MAX(0,_xlfn.FORECAST.LINEAR(J$4,'Сезонность'!$D42:$AA42,Periods))*INDEX('Сезонность'!$D11:$O11,J$5)</f>
        <v>49.8161496251677</v>
      </c>
      <c r="K11" s="80">
        <f>MAX(0,_xlfn.FORECAST.LINEAR(K$4,'Сезонность'!$D42:$AA42,Periods))*INDEX('Сезонность'!$D11:$O11,K$5)</f>
        <v>53.3601636781468</v>
      </c>
      <c r="L11" s="80">
        <f>MAX(0,_xlfn.FORECAST.LINEAR(L$4,'Сезонность'!$D42:$AA42,Periods))*INDEX('Сезонность'!$D11:$O11,L$5)</f>
        <v>51.5825301309329</v>
      </c>
      <c r="M11" s="80">
        <f>MAX(0,_xlfn.FORECAST.LINEAR(M$4,'Сезонность'!$D42:$AA42,Periods))*INDEX('Сезонность'!$D11:$O11,M$5)</f>
        <v>53.4486818032706</v>
      </c>
      <c r="N11" s="80">
        <f>MAX(0,_xlfn.FORECAST.LINEAR(N$4,'Сезонность'!$D42:$AA42,Periods))*INDEX('Сезонность'!$D11:$O11,N$5)</f>
        <v>51.7032503685031</v>
      </c>
      <c r="O11" s="80">
        <f>MAX(0,_xlfn.FORECAST.LINEAR(O$4,'Сезонность'!$D42:$AA42,Periods))*INDEX('Сезонность'!$D11:$O11,O$5)</f>
        <v>48.4779762216055</v>
      </c>
      <c r="P11" s="81">
        <f>SUM(D11:O11)</f>
        <v>559.102156981785</v>
      </c>
      <c r="Q11" s="82">
        <f>SUM('Данные'!R11:AC11)</f>
        <v>524</v>
      </c>
      <c r="R11" s="83">
        <f>P11/Q11-1</f>
        <v>0.0669888492018804</v>
      </c>
      <c r="S11" s="80">
        <f>P11*'Данные'!E11/1000</f>
        <v>301.915164770164</v>
      </c>
      <c r="T11" s="84">
        <f>SUMPRODUCT(ABS('Данные'!$F11:$AC11-$D29:$AA29))/SUM('Данные'!$F11:$AC11)</f>
        <v>0.0589534968804605</v>
      </c>
      <c r="U11" s="85">
        <f>SQRT(SUMXMY2('Данные'!$F11:$AC11,$D29:$AA29)/COUNT('Данные'!$F11:$AC11))</f>
        <v>3.11807099402527</v>
      </c>
      <c r="V11" s="49" t="n"/>
    </row>
    <row r="12" ht="17" customHeight="1">
      <c r="A12" s="72" t="str">
        <f>'Данные'!A12</f>
        <v>SYR-06</v>
      </c>
      <c r="B12" s="73" t="str">
        <f>'Данные'!B12</f>
        <v>Сироп «Тыквенный пряный», 1 л</v>
      </c>
      <c r="C12" s="74" t="str">
        <f>'Данные'!D12</f>
        <v>бут.</v>
      </c>
      <c r="D12" s="86">
        <f>MAX(0,_xlfn.FORECAST.LINEAR(D$4,'Сезонность'!$D43:$AA43,Periods))*INDEX('Сезонность'!$D12:$O12,D$5)</f>
        <v>97.9392770091422</v>
      </c>
      <c r="E12" s="86">
        <f>MAX(0,_xlfn.FORECAST.LINEAR(E$4,'Сезонность'!$D43:$AA43,Periods))*INDEX('Сезонность'!$D12:$O12,E$5)</f>
        <v>74.4089478813306</v>
      </c>
      <c r="F12" s="86">
        <f>MAX(0,_xlfn.FORECAST.LINEAR(F$4,'Сезонность'!$D43:$AA43,Periods))*INDEX('Сезонность'!$D12:$O12,F$5)</f>
        <v>60.9263986129081</v>
      </c>
      <c r="G12" s="86">
        <f>MAX(0,_xlfn.FORECAST.LINEAR(G$4,'Сезонность'!$D43:$AA43,Periods))*INDEX('Сезонность'!$D12:$O12,G$5)</f>
        <v>13.4005351291332</v>
      </c>
      <c r="H12" s="86">
        <f>MAX(0,_xlfn.FORECAST.LINEAR(H$4,'Сезонность'!$D43:$AA43,Periods))*INDEX('Сезонность'!$D12:$O12,H$5)</f>
        <v>5.86010374183547</v>
      </c>
      <c r="I12" s="86">
        <f>MAX(0,_xlfn.FORECAST.LINEAR(I$4,'Сезонность'!$D43:$AA43,Periods))*INDEX('Сезонность'!$D12:$O12,I$5)</f>
        <v>4.67796839420574</v>
      </c>
      <c r="J12" s="86">
        <f>MAX(0,_xlfn.FORECAST.LINEAR(J$4,'Сезонность'!$D43:$AA43,Periods))*INDEX('Сезонность'!$D12:$O12,J$5)</f>
        <v>2.33402895790001</v>
      </c>
      <c r="K12" s="86">
        <f>MAX(0,_xlfn.FORECAST.LINEAR(K$4,'Сезонность'!$D43:$AA43,Periods))*INDEX('Сезонность'!$D12:$O12,K$5)</f>
        <v>2.94557091623852</v>
      </c>
      <c r="L12" s="86">
        <f>MAX(0,_xlfn.FORECAST.LINEAR(L$4,'Сезонность'!$D43:$AA43,Periods))*INDEX('Сезонность'!$D12:$O12,L$5)</f>
        <v>2.8718093461108</v>
      </c>
      <c r="M12" s="86">
        <f>MAX(0,_xlfn.FORECAST.LINEAR(M$4,'Сезонность'!$D43:$AA43,Periods))*INDEX('Сезонность'!$D12:$O12,M$5)</f>
        <v>3.47961829716322</v>
      </c>
      <c r="N12" s="86">
        <f>MAX(0,_xlfn.FORECAST.LINEAR(N$4,'Сезонность'!$D43:$AA43,Periods))*INDEX('Сезонность'!$D12:$O12,N$5)</f>
        <v>10.2865188834667</v>
      </c>
      <c r="O12" s="86">
        <f>MAX(0,_xlfn.FORECAST.LINEAR(O$4,'Сезонность'!$D43:$AA43,Periods))*INDEX('Сезонность'!$D12:$O12,O$5)</f>
        <v>55.5455592314532</v>
      </c>
      <c r="P12" s="87">
        <f>SUM(D12:O12)</f>
        <v>334.676336400888</v>
      </c>
      <c r="Q12" s="88">
        <f>SUM('Данные'!R12:AC12)</f>
        <v>303</v>
      </c>
      <c r="R12" s="89">
        <f>P12/Q12-1</f>
        <v>0.104542364359366</v>
      </c>
      <c r="S12" s="86">
        <f>P12*'Данные'!E12/1000</f>
        <v>204.152565204542</v>
      </c>
      <c r="T12" s="90">
        <f>SUMPRODUCT(ABS('Данные'!$F12:$AC12-$D30:$AA30))/SUM('Данные'!$F12:$AC12)</f>
        <v>0.0582520893493693</v>
      </c>
      <c r="U12" s="91">
        <f>SQRT(SUMXMY2('Данные'!$F12:$AC12,$D30:$AA30)/COUNT('Данные'!$F12:$AC12))</f>
        <v>2.14723680637151</v>
      </c>
      <c r="V12" s="55" t="n"/>
    </row>
    <row r="13" ht="17" customHeight="1">
      <c r="A13" s="60" t="str">
        <f>'Данные'!A13</f>
        <v>CUP-07</v>
      </c>
      <c r="B13" s="61" t="str">
        <f>'Данные'!B13</f>
        <v>Стакан бумажный 300 мл</v>
      </c>
      <c r="C13" s="62" t="str">
        <f>'Данные'!D13</f>
        <v>шт.</v>
      </c>
      <c r="D13" s="80">
        <f>MAX(0,_xlfn.FORECAST.LINEAR(D$4,'Сезонность'!$D44:$AA44,Periods))*INDEX('Сезонность'!$D13:$O13,D$5)</f>
        <v>14681.3655042123</v>
      </c>
      <c r="E13" s="80">
        <f>MAX(0,_xlfn.FORECAST.LINEAR(E$4,'Сезонность'!$D44:$AA44,Periods))*INDEX('Сезонность'!$D13:$O13,E$5)</f>
        <v>13799.3934009121</v>
      </c>
      <c r="F13" s="80">
        <f>MAX(0,_xlfn.FORECAST.LINEAR(F$4,'Сезонность'!$D44:$AA44,Periods))*INDEX('Сезонность'!$D13:$O13,F$5)</f>
        <v>15047.130858643</v>
      </c>
      <c r="G13" s="80">
        <f>MAX(0,_xlfn.FORECAST.LINEAR(G$4,'Сезонность'!$D44:$AA44,Periods))*INDEX('Сезонность'!$D13:$O13,G$5)</f>
        <v>13862.0927745119</v>
      </c>
      <c r="H13" s="80">
        <f>MAX(0,_xlfn.FORECAST.LINEAR(H$4,'Сезонность'!$D44:$AA44,Periods))*INDEX('Сезонность'!$D13:$O13,H$5)</f>
        <v>14398.7753491589</v>
      </c>
      <c r="I13" s="80">
        <f>MAX(0,_xlfn.FORECAST.LINEAR(I$4,'Сезонность'!$D44:$AA44,Periods))*INDEX('Сезонность'!$D13:$O13,I$5)</f>
        <v>16779.3354117673</v>
      </c>
      <c r="J13" s="80">
        <f>MAX(0,_xlfn.FORECAST.LINEAR(J$4,'Сезонность'!$D44:$AA44,Periods))*INDEX('Сезонность'!$D13:$O13,J$5)</f>
        <v>17013.7747822011</v>
      </c>
      <c r="K13" s="80">
        <f>MAX(0,_xlfn.FORECAST.LINEAR(K$4,'Сезонность'!$D44:$AA44,Periods))*INDEX('Сезонность'!$D13:$O13,K$5)</f>
        <v>18368.3964603567</v>
      </c>
      <c r="L13" s="80">
        <f>MAX(0,_xlfn.FORECAST.LINEAR(L$4,'Сезонность'!$D44:$AA44,Periods))*INDEX('Сезонность'!$D13:$O13,L$5)</f>
        <v>21563.6683746528</v>
      </c>
      <c r="M13" s="80">
        <f>MAX(0,_xlfn.FORECAST.LINEAR(M$4,'Сезонность'!$D44:$AA44,Periods))*INDEX('Сезонность'!$D13:$O13,M$5)</f>
        <v>20317.4177573208</v>
      </c>
      <c r="N13" s="80">
        <f>MAX(0,_xlfn.FORECAST.LINEAR(N$4,'Сезонность'!$D44:$AA44,Periods))*INDEX('Сезонность'!$D13:$O13,N$5)</f>
        <v>21010.3267406594</v>
      </c>
      <c r="O13" s="80">
        <f>MAX(0,_xlfn.FORECAST.LINEAR(O$4,'Сезонность'!$D44:$AA44,Periods))*INDEX('Сезонность'!$D13:$O13,O$5)</f>
        <v>17701.4412467776</v>
      </c>
      <c r="P13" s="81">
        <f>SUM(D13:O13)</f>
        <v>204543.118661174</v>
      </c>
      <c r="Q13" s="82">
        <f>SUM('Данные'!R13:AC13)</f>
        <v>184203</v>
      </c>
      <c r="R13" s="83">
        <f>P13/Q13-1</f>
        <v>0.110422298557428</v>
      </c>
      <c r="S13" s="80">
        <f>P13*'Данные'!E13/1000</f>
        <v>1513.61907809269</v>
      </c>
      <c r="T13" s="84">
        <f>SUMPRODUCT(ABS('Данные'!$F13:$AC13-$D31:$AA31))/SUM('Данные'!$F13:$AC13)</f>
        <v>0.0309521088866064</v>
      </c>
      <c r="U13" s="85">
        <f>SQRT(SUMXMY2('Данные'!$F13:$AC13,$D31:$AA31)/COUNT('Данные'!$F13:$AC13))</f>
        <v>568.228458419068</v>
      </c>
      <c r="V13" s="49" t="n"/>
    </row>
    <row r="14" ht="17" customHeight="1">
      <c r="A14" s="72" t="str">
        <f>'Данные'!A14</f>
        <v>LID-08</v>
      </c>
      <c r="B14" s="73" t="str">
        <f>'Данные'!B14</f>
        <v>Крышка для стакана Ø 90 мм</v>
      </c>
      <c r="C14" s="74" t="str">
        <f>'Данные'!D14</f>
        <v>шт.</v>
      </c>
      <c r="D14" s="86">
        <f>MAX(0,_xlfn.FORECAST.LINEAR(D$4,'Сезонность'!$D45:$AA45,Periods))*INDEX('Сезонность'!$D14:$O14,D$5)</f>
        <v>14136.9361566616</v>
      </c>
      <c r="E14" s="86">
        <f>MAX(0,_xlfn.FORECAST.LINEAR(E$4,'Сезонность'!$D45:$AA45,Periods))*INDEX('Сезонность'!$D14:$O14,E$5)</f>
        <v>13598.7429976509</v>
      </c>
      <c r="F14" s="86">
        <f>MAX(0,_xlfn.FORECAST.LINEAR(F$4,'Сезонность'!$D45:$AA45,Periods))*INDEX('Сезонность'!$D14:$O14,F$5)</f>
        <v>13806.8249311349</v>
      </c>
      <c r="G14" s="86">
        <f>MAX(0,_xlfn.FORECAST.LINEAR(G$4,'Сезонность'!$D45:$AA45,Periods))*INDEX('Сезонность'!$D14:$O14,G$5)</f>
        <v>12457.7525161177</v>
      </c>
      <c r="H14" s="86">
        <f>MAX(0,_xlfn.FORECAST.LINEAR(H$4,'Сезонность'!$D45:$AA45,Periods))*INDEX('Сезонность'!$D14:$O14,H$5)</f>
        <v>13241.7768665673</v>
      </c>
      <c r="I14" s="86">
        <f>MAX(0,_xlfn.FORECAST.LINEAR(I$4,'Сезонность'!$D45:$AA45,Periods))*INDEX('Сезонность'!$D14:$O14,I$5)</f>
        <v>15442.4312804452</v>
      </c>
      <c r="J14" s="86">
        <f>MAX(0,_xlfn.FORECAST.LINEAR(J$4,'Сезонность'!$D45:$AA45,Periods))*INDEX('Сезонность'!$D14:$O14,J$5)</f>
        <v>15864.1524220598</v>
      </c>
      <c r="K14" s="86">
        <f>MAX(0,_xlfn.FORECAST.LINEAR(K$4,'Сезонность'!$D45:$AA45,Periods))*INDEX('Сезонность'!$D14:$O14,K$5)</f>
        <v>16740.3638767417</v>
      </c>
      <c r="L14" s="86">
        <f>MAX(0,_xlfn.FORECAST.LINEAR(L$4,'Сезонность'!$D45:$AA45,Periods))*INDEX('Сезонность'!$D14:$O14,L$5)</f>
        <v>18033.8013719441</v>
      </c>
      <c r="M14" s="86">
        <f>MAX(0,_xlfn.FORECAST.LINEAR(M$4,'Сезонность'!$D45:$AA45,Periods))*INDEX('Сезонность'!$D14:$O14,M$5)</f>
        <v>19813.0721293079</v>
      </c>
      <c r="N14" s="86">
        <f>MAX(0,_xlfn.FORECAST.LINEAR(N$4,'Сезонность'!$D45:$AA45,Periods))*INDEX('Сезонность'!$D14:$O14,N$5)</f>
        <v>18997.0129508483</v>
      </c>
      <c r="O14" s="86">
        <f>MAX(0,_xlfn.FORECAST.LINEAR(O$4,'Сезонность'!$D45:$AA45,Periods))*INDEX('Сезонность'!$D14:$O14,O$5)</f>
        <v>17485.8987818991</v>
      </c>
      <c r="P14" s="87">
        <f>SUM(D14:O14)</f>
        <v>189618.766281378</v>
      </c>
      <c r="Q14" s="88">
        <f>SUM('Данные'!R14:AC14)</f>
        <v>174789</v>
      </c>
      <c r="R14" s="89">
        <f>P14/Q14-1</f>
        <v>0.0848438190125147</v>
      </c>
      <c r="S14" s="86">
        <f>P14*'Данные'!E14/1000</f>
        <v>587.818175472273</v>
      </c>
      <c r="T14" s="90">
        <f>SUMPRODUCT(ABS('Данные'!$F14:$AC14-$D32:$AA32))/SUM('Данные'!$F14:$AC14)</f>
        <v>0.0392593687557549</v>
      </c>
      <c r="U14" s="91">
        <f>SQRT(SUMXMY2('Данные'!$F14:$AC14,$D32:$AA32)/COUNT('Данные'!$F14:$AC14))</f>
        <v>735.99166617867</v>
      </c>
      <c r="V14" s="55" t="n"/>
    </row>
    <row r="15" ht="17" customHeight="1">
      <c r="A15" s="60" t="str">
        <f>'Данные'!A15</f>
        <v>CRS-09</v>
      </c>
      <c r="B15" s="61" t="str">
        <f>'Данные'!B15</f>
        <v>Круассан сливочный, заморозка</v>
      </c>
      <c r="C15" s="62" t="str">
        <f>'Данные'!D15</f>
        <v>шт.</v>
      </c>
      <c r="D15" s="80">
        <f>MAX(0,_xlfn.FORECAST.LINEAR(D$4,'Сезонность'!$D46:$AA46,Periods))*INDEX('Сезонность'!$D15:$O15,D$5)</f>
        <v>5825.97704171834</v>
      </c>
      <c r="E15" s="80">
        <f>MAX(0,_xlfn.FORECAST.LINEAR(E$4,'Сезонность'!$D46:$AA46,Periods))*INDEX('Сезонность'!$D15:$O15,E$5)</f>
        <v>5981.37638484866</v>
      </c>
      <c r="F15" s="80">
        <f>MAX(0,_xlfn.FORECAST.LINEAR(F$4,'Сезонность'!$D46:$AA46,Periods))*INDEX('Сезонность'!$D15:$O15,F$5)</f>
        <v>5996.08626176452</v>
      </c>
      <c r="G15" s="80">
        <f>MAX(0,_xlfn.FORECAST.LINEAR(G$4,'Сезонность'!$D46:$AA46,Periods))*INDEX('Сезонность'!$D15:$O15,G$5)</f>
        <v>5007.74938219081</v>
      </c>
      <c r="H15" s="80">
        <f>MAX(0,_xlfn.FORECAST.LINEAR(H$4,'Сезонность'!$D46:$AA46,Periods))*INDEX('Сезонность'!$D15:$O15,H$5)</f>
        <v>5222.53619665186</v>
      </c>
      <c r="I15" s="80">
        <f>MAX(0,_xlfn.FORECAST.LINEAR(I$4,'Сезонность'!$D46:$AA46,Periods))*INDEX('Сезонность'!$D15:$O15,I$5)</f>
        <v>5629.27372452414</v>
      </c>
      <c r="J15" s="80">
        <f>MAX(0,_xlfn.FORECAST.LINEAR(J$4,'Сезонность'!$D46:$AA46,Periods))*INDEX('Сезонность'!$D15:$O15,J$5)</f>
        <v>5474.24001201087</v>
      </c>
      <c r="K15" s="80">
        <f>MAX(0,_xlfn.FORECAST.LINEAR(K$4,'Сезонность'!$D46:$AA46,Periods))*INDEX('Сезонность'!$D15:$O15,K$5)</f>
        <v>5452.50162894481</v>
      </c>
      <c r="L15" s="80">
        <f>MAX(0,_xlfn.FORECAST.LINEAR(L$4,'Сезонность'!$D46:$AA46,Periods))*INDEX('Сезонность'!$D15:$O15,L$5)</f>
        <v>5261.79620209192</v>
      </c>
      <c r="M15" s="80">
        <f>MAX(0,_xlfn.FORECAST.LINEAR(M$4,'Сезонность'!$D46:$AA46,Periods))*INDEX('Сезонность'!$D15:$O15,M$5)</f>
        <v>4902.7085812998</v>
      </c>
      <c r="N15" s="80">
        <f>MAX(0,_xlfn.FORECAST.LINEAR(N$4,'Сезонность'!$D46:$AA46,Periods))*INDEX('Сезонность'!$D15:$O15,N$5)</f>
        <v>5177.80692323349</v>
      </c>
      <c r="O15" s="80">
        <f>MAX(0,_xlfn.FORECAST.LINEAR(O$4,'Сезонность'!$D46:$AA46,Periods))*INDEX('Сезонность'!$D15:$O15,O$5)</f>
        <v>5829.62451347477</v>
      </c>
      <c r="P15" s="81">
        <f>SUM(D15:O15)</f>
        <v>65761.676852754</v>
      </c>
      <c r="Q15" s="82">
        <f>SUM('Данные'!R15:AC15)</f>
        <v>62282</v>
      </c>
      <c r="R15" s="83">
        <f>P15/Q15-1</f>
        <v>0.0558697031687163</v>
      </c>
      <c r="S15" s="80">
        <f>P15*'Данные'!E15/1000</f>
        <v>3551.13055004872</v>
      </c>
      <c r="T15" s="84">
        <f>SUMPRODUCT(ABS('Данные'!$F15:$AC15-$D33:$AA33))/SUM('Данные'!$F15:$AC15)</f>
        <v>0.0200543954248464</v>
      </c>
      <c r="U15" s="85">
        <f>SQRT(SUMXMY2('Данные'!$F15:$AC15,$D33:$AA33)/COUNT('Данные'!$F15:$AC15))</f>
        <v>126.376647359917</v>
      </c>
      <c r="V15" s="49" t="n"/>
    </row>
    <row r="16" ht="17" customHeight="1">
      <c r="A16" s="72" t="str">
        <f>'Данные'!A16</f>
        <v>TEA-10</v>
      </c>
      <c r="B16" s="73" t="str">
        <f>'Данные'!B16</f>
        <v>Чай зелёный «Сенча», 500 г</v>
      </c>
      <c r="C16" s="74" t="str">
        <f>'Данные'!D16</f>
        <v>уп.</v>
      </c>
      <c r="D16" s="86">
        <f>MAX(0,_xlfn.FORECAST.LINEAR(D$4,'Сезонность'!$D47:$AA47,Periods))*INDEX('Сезонность'!$D16:$O16,D$5)</f>
        <v>32.0955127017344</v>
      </c>
      <c r="E16" s="86">
        <f>MAX(0,_xlfn.FORECAST.LINEAR(E$4,'Сезонность'!$D47:$AA47,Periods))*INDEX('Сезонность'!$D16:$O16,E$5)</f>
        <v>38.2324474879274</v>
      </c>
      <c r="F16" s="86">
        <f>MAX(0,_xlfn.FORECAST.LINEAR(F$4,'Сезонность'!$D47:$AA47,Periods))*INDEX('Сезонность'!$D16:$O16,F$5)</f>
        <v>39.233216265482</v>
      </c>
      <c r="G16" s="86">
        <f>MAX(0,_xlfn.FORECAST.LINEAR(G$4,'Сезонность'!$D47:$AA47,Periods))*INDEX('Сезонность'!$D16:$O16,G$5)</f>
        <v>42.5403129001476</v>
      </c>
      <c r="H16" s="86">
        <f>MAX(0,_xlfn.FORECAST.LINEAR(H$4,'Сезонность'!$D47:$AA47,Periods))*INDEX('Сезонность'!$D16:$O16,H$5)</f>
        <v>39.8567849016361</v>
      </c>
      <c r="I16" s="86">
        <f>MAX(0,_xlfn.FORECAST.LINEAR(I$4,'Сезонность'!$D47:$AA47,Periods))*INDEX('Сезонность'!$D16:$O16,I$5)</f>
        <v>35.4750881557525</v>
      </c>
      <c r="J16" s="86">
        <f>MAX(0,_xlfn.FORECAST.LINEAR(J$4,'Сезонность'!$D47:$AA47,Periods))*INDEX('Сезонность'!$D16:$O16,J$5)</f>
        <v>31.5886924161622</v>
      </c>
      <c r="K16" s="86">
        <f>MAX(0,_xlfn.FORECAST.LINEAR(K$4,'Сезонность'!$D47:$AA47,Periods))*INDEX('Сезонность'!$D16:$O16,K$5)</f>
        <v>22.4840969890419</v>
      </c>
      <c r="L16" s="86">
        <f>MAX(0,_xlfn.FORECAST.LINEAR(L$4,'Сезонность'!$D47:$AA47,Periods))*INDEX('Сезонность'!$D16:$O16,L$5)</f>
        <v>21.7306827673465</v>
      </c>
      <c r="M16" s="86">
        <f>MAX(0,_xlfn.FORECAST.LINEAR(M$4,'Сезонность'!$D47:$AA47,Periods))*INDEX('Сезонность'!$D16:$O16,M$5)</f>
        <v>19.7450954328949</v>
      </c>
      <c r="N16" s="86">
        <f>MAX(0,_xlfn.FORECAST.LINEAR(N$4,'Сезонность'!$D47:$AA47,Periods))*INDEX('Сезонность'!$D16:$O16,N$5)</f>
        <v>20.9170632959606</v>
      </c>
      <c r="O16" s="86">
        <f>MAX(0,_xlfn.FORECAST.LINEAR(O$4,'Сезонность'!$D47:$AA47,Periods))*INDEX('Сезонность'!$D16:$O16,O$5)</f>
        <v>29.8448470612618</v>
      </c>
      <c r="P16" s="87">
        <f>SUM(D16:O16)</f>
        <v>373.743840375348</v>
      </c>
      <c r="Q16" s="88">
        <f>SUM('Данные'!R16:AC16)</f>
        <v>325</v>
      </c>
      <c r="R16" s="89">
        <f>P16/Q16-1</f>
        <v>0.149981047308763</v>
      </c>
      <c r="S16" s="86">
        <f>P16*'Данные'!E16/1000</f>
        <v>541.928568544254</v>
      </c>
      <c r="T16" s="90">
        <f>SUMPRODUCT(ABS('Данные'!$F16:$AC16-$D34:$AA34))/SUM('Данные'!$F16:$AC16)</f>
        <v>0.0541246392716988</v>
      </c>
      <c r="U16" s="91">
        <f>SQRT(SUMXMY2('Данные'!$F16:$AC16,$D34:$AA34)/COUNT('Данные'!$F16:$AC16))</f>
        <v>1.51773905955377</v>
      </c>
      <c r="V16" s="55" t="n"/>
    </row>
    <row r="17" ht="17" customHeight="1">
      <c r="A17" s="60" t="str">
        <f>'Данные'!A17</f>
        <v>ICE-11</v>
      </c>
      <c r="B17" s="61" t="str">
        <f>'Данные'!B17</f>
        <v>Лёд пищевой, кубики</v>
      </c>
      <c r="C17" s="62" t="str">
        <f>'Данные'!D17</f>
        <v>кг</v>
      </c>
      <c r="D17" s="80">
        <f>MAX(0,_xlfn.FORECAST.LINEAR(D$4,'Сезонность'!$D48:$AA48,Periods))*INDEX('Сезонность'!$D17:$O17,D$5)</f>
        <v>317.311306980019</v>
      </c>
      <c r="E17" s="80">
        <f>MAX(0,_xlfn.FORECAST.LINEAR(E$4,'Сезонность'!$D48:$AA48,Periods))*INDEX('Сезонность'!$D17:$O17,E$5)</f>
        <v>209.314531407495</v>
      </c>
      <c r="F17" s="80">
        <f>MAX(0,_xlfn.FORECAST.LINEAR(F$4,'Сезонность'!$D48:$AA48,Periods))*INDEX('Сезонность'!$D17:$O17,F$5)</f>
        <v>189.93426381194</v>
      </c>
      <c r="G17" s="80">
        <f>MAX(0,_xlfn.FORECAST.LINEAR(G$4,'Сезонность'!$D48:$AA48,Periods))*INDEX('Сезонность'!$D17:$O17,G$5)</f>
        <v>151.188695427978</v>
      </c>
      <c r="H17" s="80">
        <f>MAX(0,_xlfn.FORECAST.LINEAR(H$4,'Сезонность'!$D48:$AA48,Periods))*INDEX('Сезонность'!$D17:$O17,H$5)</f>
        <v>184.633022986361</v>
      </c>
      <c r="I17" s="80">
        <f>MAX(0,_xlfn.FORECAST.LINEAR(I$4,'Сезонность'!$D48:$AA48,Periods))*INDEX('Сезонность'!$D17:$O17,I$5)</f>
        <v>298.626640699944</v>
      </c>
      <c r="J17" s="80">
        <f>MAX(0,_xlfn.FORECAST.LINEAR(J$4,'Сезонность'!$D48:$AA48,Periods))*INDEX('Сезонность'!$D17:$O17,J$5)</f>
        <v>415.898651982482</v>
      </c>
      <c r="K17" s="80">
        <f>MAX(0,_xlfn.FORECAST.LINEAR(K$4,'Сезонность'!$D48:$AA48,Periods))*INDEX('Сезонность'!$D17:$O17,K$5)</f>
        <v>592.83954223583</v>
      </c>
      <c r="L17" s="80">
        <f>MAX(0,_xlfn.FORECAST.LINEAR(L$4,'Сезонность'!$D48:$AA48,Periods))*INDEX('Сезонность'!$D17:$O17,L$5)</f>
        <v>992.935297254259</v>
      </c>
      <c r="M17" s="80">
        <f>MAX(0,_xlfn.FORECAST.LINEAR(M$4,'Сезонность'!$D48:$AA48,Periods))*INDEX('Сезонность'!$D17:$O17,M$5)</f>
        <v>1081.21170802326</v>
      </c>
      <c r="N17" s="80">
        <f>MAX(0,_xlfn.FORECAST.LINEAR(N$4,'Сезонность'!$D48:$AA48,Periods))*INDEX('Сезонность'!$D17:$O17,N$5)</f>
        <v>974.330373098715</v>
      </c>
      <c r="O17" s="80">
        <f>MAX(0,_xlfn.FORECAST.LINEAR(O$4,'Сезонность'!$D48:$AA48,Periods))*INDEX('Сезонность'!$D17:$O17,O$5)</f>
        <v>568.263317276441</v>
      </c>
      <c r="P17" s="81">
        <f>SUM(D17:O17)</f>
        <v>5976.48735118472</v>
      </c>
      <c r="Q17" s="82">
        <f>SUM('Данные'!R17:AC17)</f>
        <v>5580</v>
      </c>
      <c r="R17" s="83">
        <f>P17/Q17-1</f>
        <v>0.0710550808574768</v>
      </c>
      <c r="S17" s="80">
        <f>P17*'Данные'!E17/1000</f>
        <v>203.200569940281</v>
      </c>
      <c r="T17" s="84">
        <f>SUMPRODUCT(ABS('Данные'!$F17:$AC17-$D35:$AA35))/SUM('Данные'!$F17:$AC17)</f>
        <v>0.0678581224727052</v>
      </c>
      <c r="U17" s="85">
        <f>SQRT(SUMXMY2('Данные'!$F17:$AC17,$D35:$AA35)/COUNT('Данные'!$F17:$AC17))</f>
        <v>43.8985758232524</v>
      </c>
      <c r="V17" s="49" t="n"/>
    </row>
    <row r="18" ht="17" customHeight="1">
      <c r="A18" s="72" t="str">
        <f>'Данные'!A18</f>
        <v>CHO-12</v>
      </c>
      <c r="B18" s="73" t="str">
        <f>'Данные'!B18</f>
        <v>Шоколад для горячего шоколада</v>
      </c>
      <c r="C18" s="74" t="str">
        <f>'Данные'!D18</f>
        <v>кг</v>
      </c>
      <c r="D18" s="86">
        <f>MAX(0,_xlfn.FORECAST.LINEAR(D$4,'Сезонность'!$D49:$AA49,Periods))*INDEX('Сезонность'!$D18:$O18,D$5)</f>
        <v>32.3299851873707</v>
      </c>
      <c r="E18" s="86">
        <f>MAX(0,_xlfn.FORECAST.LINEAR(E$4,'Сезонность'!$D49:$AA49,Periods))*INDEX('Сезонность'!$D18:$O18,E$5)</f>
        <v>38.2809892459289</v>
      </c>
      <c r="F18" s="86">
        <f>MAX(0,_xlfn.FORECAST.LINEAR(F$4,'Сезонность'!$D49:$AA49,Periods))*INDEX('Сезонность'!$D18:$O18,F$5)</f>
        <v>38.2648130749807</v>
      </c>
      <c r="G18" s="86">
        <f>MAX(0,_xlfn.FORECAST.LINEAR(G$4,'Сезонность'!$D49:$AA49,Periods))*INDEX('Сезонность'!$D18:$O18,G$5)</f>
        <v>41.971233423521</v>
      </c>
      <c r="H18" s="86">
        <f>MAX(0,_xlfn.FORECAST.LINEAR(H$4,'Сезонность'!$D49:$AA49,Periods))*INDEX('Сезонность'!$D18:$O18,H$5)</f>
        <v>41.4192322452094</v>
      </c>
      <c r="I18" s="86">
        <f>MAX(0,_xlfn.FORECAST.LINEAR(I$4,'Сезонность'!$D49:$AA49,Periods))*INDEX('Сезонность'!$D18:$O18,I$5)</f>
        <v>31.4921462840323</v>
      </c>
      <c r="J18" s="86">
        <f>MAX(0,_xlfn.FORECAST.LINEAR(J$4,'Сезонность'!$D49:$AA49,Periods))*INDEX('Сезонность'!$D18:$O18,J$5)</f>
        <v>24.2888920829751</v>
      </c>
      <c r="K18" s="86">
        <f>MAX(0,_xlfn.FORECAST.LINEAR(K$4,'Сезонность'!$D49:$AA49,Periods))*INDEX('Сезонность'!$D18:$O18,K$5)</f>
        <v>17.1524423641178</v>
      </c>
      <c r="L18" s="86">
        <f>MAX(0,_xlfn.FORECAST.LINEAR(L$4,'Сезонность'!$D49:$AA49,Periods))*INDEX('Сезонность'!$D18:$O18,L$5)</f>
        <v>13.6921575884637</v>
      </c>
      <c r="M18" s="86">
        <f>MAX(0,_xlfn.FORECAST.LINEAR(M$4,'Сезонность'!$D49:$AA49,Periods))*INDEX('Сезонность'!$D18:$O18,M$5)</f>
        <v>12.0886802227017</v>
      </c>
      <c r="N18" s="86">
        <f>MAX(0,_xlfn.FORECAST.LINEAR(N$4,'Сезонность'!$D49:$AA49,Periods))*INDEX('Сезонность'!$D18:$O18,N$5)</f>
        <v>13.6949860475742</v>
      </c>
      <c r="O18" s="86">
        <f>MAX(0,_xlfn.FORECAST.LINEAR(O$4,'Сезонность'!$D49:$AA49,Periods))*INDEX('Сезонность'!$D18:$O18,O$5)</f>
        <v>22.4404840482318</v>
      </c>
      <c r="P18" s="87">
        <f>SUM(D18:O18)</f>
        <v>327.116041815107</v>
      </c>
      <c r="Q18" s="88">
        <f>SUM('Данные'!R18:AC18)</f>
        <v>308</v>
      </c>
      <c r="R18" s="89">
        <f>P18/Q18-1</f>
        <v>0.06206507082827</v>
      </c>
      <c r="S18" s="86">
        <f>P18*'Данные'!E18/1000</f>
        <v>376.183448087373</v>
      </c>
      <c r="T18" s="90">
        <f>SUMPRODUCT(ABS('Данные'!$F18:$AC18-$D36:$AA36))/SUM('Данные'!$F18:$AC18)</f>
        <v>0.0386881765960216</v>
      </c>
      <c r="U18" s="91">
        <f>SQRT(SUMXMY2('Данные'!$F18:$AC18,$D36:$AA36)/COUNT('Данные'!$F18:$AC18))</f>
        <v>1.21526289642023</v>
      </c>
      <c r="V18" s="55" t="n"/>
    </row>
    <row r="19" ht="19" customHeight="1">
      <c r="A19" s="56" t="inlineStr">
        <is>
          <t>Итого стоимость закупок, тыс. ₽</t>
        </is>
      </c>
      <c r="B19" s="56" t="n"/>
      <c r="C19" s="56" t="n"/>
      <c r="D19" s="57">
        <f>SUMPRODUCT(D7:D18,Prices)/1000</f>
        <v>1977.43132973831</v>
      </c>
      <c r="E19" s="57">
        <f>SUMPRODUCT(E7:E18,Prices)/1000</f>
        <v>1993.17854529657</v>
      </c>
      <c r="F19" s="57">
        <f>SUMPRODUCT(F7:F18,Prices)/1000</f>
        <v>2018.22191928379</v>
      </c>
      <c r="G19" s="57">
        <f>SUMPRODUCT(G7:G18,Prices)/1000</f>
        <v>1774.5917506906</v>
      </c>
      <c r="H19" s="57">
        <f>SUMPRODUCT(H7:H18,Prices)/1000</f>
        <v>1810.12795019287</v>
      </c>
      <c r="I19" s="57">
        <f>SUMPRODUCT(I7:I18,Prices)/1000</f>
        <v>1943.92106950997</v>
      </c>
      <c r="J19" s="57">
        <f>SUMPRODUCT(J7:J18,Prices)/1000</f>
        <v>1903.45624048821</v>
      </c>
      <c r="K19" s="57">
        <f>SUMPRODUCT(K7:K18,Prices)/1000</f>
        <v>1899.07559098167</v>
      </c>
      <c r="L19" s="57">
        <f>SUMPRODUCT(L7:L18,Prices)/1000</f>
        <v>1891.67571000101</v>
      </c>
      <c r="M19" s="57">
        <f>SUMPRODUCT(M7:M18,Prices)/1000</f>
        <v>1865.62463651546</v>
      </c>
      <c r="N19" s="57">
        <f>SUMPRODUCT(N7:N18,Prices)/1000</f>
        <v>1919.62505151459</v>
      </c>
      <c r="O19" s="57">
        <f>SUMPRODUCT(O7:O18,Prices)/1000</f>
        <v>2064.62745272052</v>
      </c>
      <c r="P19" s="56" t="n"/>
      <c r="Q19" s="56" t="n"/>
      <c r="R19" s="92">
        <f>S19/SUM('Данные'!R19:AC19)-1</f>
        <v>0.0765058354151917</v>
      </c>
      <c r="S19" s="57">
        <f>SUM(S7:S18)</f>
        <v>23061.5572469336</v>
      </c>
      <c r="T19" s="93">
        <f>SUMPRODUCT(T7:T18,S7:S18)/S19</f>
        <v>0.0263206181930635</v>
      </c>
      <c r="U19" s="56" t="n"/>
      <c r="V19" s="58" t="n"/>
    </row>
    <row r="21">
      <c r="A21" s="59" t="inlineStr">
        <is>
          <t>WAPE — средневзвешенная абсолютная ошибка модели на 24 мес. истории: Σ|факт − модель| ÷ Σ факт. σ ошибки (RMSE) используется в расчёте страхового запаса на листе «Закупки».</t>
        </is>
      </c>
    </row>
    <row r="23" ht="20" customHeight="1">
      <c r="A23" s="67" t="inlineStr">
        <is>
          <t>Модель на исторических данных (тренд × сезонный индекс) — для оценки точности</t>
        </is>
      </c>
    </row>
    <row r="24" ht="20" customHeight="1">
      <c r="A24" s="41" t="inlineStr">
        <is>
          <t>Код</t>
        </is>
      </c>
      <c r="B24" s="68" t="inlineStr">
        <is>
          <t>Наименование</t>
        </is>
      </c>
      <c r="C24" s="41" t="inlineStr">
        <is>
          <t>Ед.</t>
        </is>
      </c>
      <c r="D24" s="43">
        <f>'Данные'!F6</f>
        <v>45566.0</v>
      </c>
      <c r="E24" s="43">
        <f>'Данные'!G6</f>
        <v>45597.0</v>
      </c>
      <c r="F24" s="43">
        <f>'Данные'!H6</f>
        <v>45627.0</v>
      </c>
      <c r="G24" s="43">
        <f>'Данные'!I6</f>
        <v>45658.0</v>
      </c>
      <c r="H24" s="43">
        <f>'Данные'!J6</f>
        <v>45689.0</v>
      </c>
      <c r="I24" s="43">
        <f>'Данные'!K6</f>
        <v>45717.0</v>
      </c>
      <c r="J24" s="43">
        <f>'Данные'!L6</f>
        <v>45748.0</v>
      </c>
      <c r="K24" s="43">
        <f>'Данные'!M6</f>
        <v>45778.0</v>
      </c>
      <c r="L24" s="43">
        <f>'Данные'!N6</f>
        <v>45809.0</v>
      </c>
      <c r="M24" s="43">
        <f>'Данные'!O6</f>
        <v>45839.0</v>
      </c>
      <c r="N24" s="43">
        <f>'Данные'!P6</f>
        <v>45870.0</v>
      </c>
      <c r="O24" s="43">
        <f>'Данные'!Q6</f>
        <v>45901.0</v>
      </c>
      <c r="P24" s="43">
        <f>'Данные'!R6</f>
        <v>45931.0</v>
      </c>
      <c r="Q24" s="43">
        <f>'Данные'!S6</f>
        <v>45962.0</v>
      </c>
      <c r="R24" s="43">
        <f>'Данные'!T6</f>
        <v>45992.0</v>
      </c>
      <c r="S24" s="43">
        <f>'Данные'!U6</f>
        <v>46023.0</v>
      </c>
      <c r="T24" s="43">
        <f>'Данные'!V6</f>
        <v>46054.0</v>
      </c>
      <c r="U24" s="43">
        <f>'Данные'!W6</f>
        <v>46082.0</v>
      </c>
      <c r="V24" s="43">
        <f>'Данные'!X6</f>
        <v>46113.0</v>
      </c>
      <c r="W24" s="43">
        <f>'Данные'!Y6</f>
        <v>46143.0</v>
      </c>
      <c r="X24" s="43">
        <f>'Данные'!Z6</f>
        <v>46174.0</v>
      </c>
      <c r="Y24" s="43">
        <f>'Данные'!AA6</f>
        <v>46204.0</v>
      </c>
      <c r="Z24" s="43">
        <f>'Данные'!AB6</f>
        <v>46235.0</v>
      </c>
      <c r="AA24" s="43">
        <f>'Данные'!AC6</f>
        <v>46266.0</v>
      </c>
    </row>
    <row r="25" ht="17" customHeight="1">
      <c r="A25" s="60" t="str">
        <f>'Данные'!A7</f>
        <v>ESP-01</v>
      </c>
      <c r="B25" s="61" t="str">
        <f>'Данные'!B7</f>
        <v>Зерно «Эспрессо-бленд»</v>
      </c>
      <c r="C25" s="62" t="str">
        <f>'Данные'!D7</f>
        <v>кг</v>
      </c>
      <c r="D25" s="80">
        <f>_xlfn.FORECAST.LINEAR('Данные'!F$4,'Сезонность'!$D38:$AA38,Periods)*INDEX('Сезонность'!$D7:$O7,'Данные'!F$5)</f>
        <v>368.683222623538</v>
      </c>
      <c r="E25" s="80">
        <f>_xlfn.FORECAST.LINEAR('Данные'!G$4,'Сезонность'!$D38:$AA38,Periods)*INDEX('Сезонность'!$D7:$O7,'Данные'!G$5)</f>
        <v>381.038740847355</v>
      </c>
      <c r="F25" s="80">
        <f>_xlfn.FORECAST.LINEAR('Данные'!H$4,'Сезонность'!$D38:$AA38,Periods)*INDEX('Сезонность'!$D7:$O7,'Данные'!H$5)</f>
        <v>384.900883583956</v>
      </c>
      <c r="G25" s="80">
        <f>_xlfn.FORECAST.LINEAR('Данные'!I$4,'Сезонность'!$D38:$AA38,Periods)*INDEX('Сезонность'!$D7:$O7,'Данные'!I$5)</f>
        <v>338.904101814276</v>
      </c>
      <c r="H25" s="80">
        <f>_xlfn.FORECAST.LINEAR('Данные'!J$4,'Сезонность'!$D38:$AA38,Periods)*INDEX('Сезонность'!$D7:$O7,'Данные'!J$5)</f>
        <v>352.302981769623</v>
      </c>
      <c r="I25" s="80">
        <f>_xlfn.FORECAST.LINEAR('Данные'!K$4,'Сезонность'!$D38:$AA38,Periods)*INDEX('Сезонность'!$D7:$O7,'Данные'!K$5)</f>
        <v>372.730189734308</v>
      </c>
      <c r="J25" s="80">
        <f>_xlfn.FORECAST.LINEAR('Данные'!L$4,'Сезонность'!$D38:$AA38,Periods)*INDEX('Сезонность'!$D7:$O7,'Данные'!L$5)</f>
        <v>367.11794870332</v>
      </c>
      <c r="K25" s="80">
        <f>_xlfn.FORECAST.LINEAR('Данные'!M$4,'Сезонность'!$D38:$AA38,Periods)*INDEX('Сезонность'!$D7:$O7,'Данные'!M$5)</f>
        <v>357.849147365395</v>
      </c>
      <c r="L25" s="80">
        <f>_xlfn.FORECAST.LINEAR('Данные'!N$4,'Сезонность'!$D38:$AA38,Periods)*INDEX('Сезонность'!$D7:$O7,'Данные'!N$5)</f>
        <v>347.913304400195</v>
      </c>
      <c r="M25" s="80">
        <f>_xlfn.FORECAST.LINEAR('Данные'!O$4,'Сезонность'!$D38:$AA38,Periods)*INDEX('Сезонность'!$D7:$O7,'Данные'!O$5)</f>
        <v>345.791791351176</v>
      </c>
      <c r="N25" s="80">
        <f>_xlfn.FORECAST.LINEAR('Данные'!P$4,'Сезонность'!$D38:$AA38,Periods)*INDEX('Сезонность'!$D7:$O7,'Данные'!P$5)</f>
        <v>355.390864924634</v>
      </c>
      <c r="O25" s="80">
        <f>_xlfn.FORECAST.LINEAR('Данные'!Q$4,'Сезонность'!$D38:$AA38,Periods)*INDEX('Сезонность'!$D7:$O7,'Данные'!Q$5)</f>
        <v>391.187437357266</v>
      </c>
      <c r="P25" s="80">
        <f>_xlfn.FORECAST.LINEAR('Данные'!R$4,'Сезонность'!$D38:$AA38,Periods)*INDEX('Сезонность'!$D7:$O7,'Данные'!R$5)</f>
        <v>394.236673366495</v>
      </c>
      <c r="Q25" s="80">
        <f>_xlfn.FORECAST.LINEAR('Данные'!S$4,'Сезонность'!$D38:$AA38,Periods)*INDEX('Сезонность'!$D7:$O7,'Данные'!S$5)</f>
        <v>407.29689032072</v>
      </c>
      <c r="R25" s="80">
        <f>_xlfn.FORECAST.LINEAR('Данные'!T$4,'Сезонность'!$D38:$AA38,Periods)*INDEX('Сезонность'!$D7:$O7,'Данные'!T$5)</f>
        <v>411.273730602023</v>
      </c>
      <c r="S25" s="80">
        <f>_xlfn.FORECAST.LINEAR('Данные'!U$4,'Сезонность'!$D38:$AA38,Periods)*INDEX('Сезонность'!$D7:$O7,'Данные'!U$5)</f>
        <v>361.9934789132</v>
      </c>
      <c r="T25" s="80">
        <f>_xlfn.FORECAST.LINEAR('Данные'!V$4,'Сезонность'!$D38:$AA38,Periods)*INDEX('Сезонность'!$D7:$O7,'Данные'!V$5)</f>
        <v>376.169715812235</v>
      </c>
      <c r="U25" s="80">
        <f>_xlfn.FORECAST.LINEAR('Данные'!W$4,'Сезонность'!$D38:$AA38,Periods)*INDEX('Сезонность'!$D7:$O7,'Данные'!W$5)</f>
        <v>397.839013570793</v>
      </c>
      <c r="V25" s="80">
        <f>_xlfn.FORECAST.LINEAR('Данные'!X$4,'Сезонность'!$D38:$AA38,Periods)*INDEX('Сезонность'!$D7:$O7,'Данные'!X$5)</f>
        <v>391.710649636547</v>
      </c>
      <c r="W25" s="80">
        <f>_xlfn.FORECAST.LINEAR('Данные'!Y$4,'Сезонность'!$D38:$AA38,Periods)*INDEX('Сезонность'!$D7:$O7,'Данные'!Y$5)</f>
        <v>381.687867902519</v>
      </c>
      <c r="X25" s="80">
        <f>_xlfn.FORECAST.LINEAR('Данные'!Z$4,'Сезонность'!$D38:$AA38,Periods)*INDEX('Сезонность'!$D7:$O7,'Данные'!Z$5)</f>
        <v>370.962178828019</v>
      </c>
      <c r="Y25" s="80">
        <f>_xlfn.FORECAST.LINEAR('Данные'!AA$4,'Сезонность'!$D38:$AA38,Periods)*INDEX('Сезонность'!$D7:$O7,'Данные'!AA$5)</f>
        <v>368.574341292161</v>
      </c>
      <c r="Z25" s="80">
        <f>_xlfn.FORECAST.LINEAR('Данные'!AB$4,'Сезонность'!$D38:$AA38,Periods)*INDEX('Сезонность'!$D7:$O7,'Данные'!AB$5)</f>
        <v>378.677995060015</v>
      </c>
      <c r="AA25" s="80">
        <f>_xlfn.FORECAST.LINEAR('Данные'!AC$4,'Сезонность'!$D38:$AA38,Periods)*INDEX('Сезонность'!$D7:$O7,'Данные'!AC$5)</f>
        <v>416.680946336137</v>
      </c>
    </row>
    <row r="26" ht="17" customHeight="1">
      <c r="A26" s="72" t="str">
        <f>'Данные'!A8</f>
        <v>FLT-02</v>
      </c>
      <c r="B26" s="73" t="str">
        <f>'Данные'!B8</f>
        <v>Зерно «Эфиопия Иргачеффе», фильтр</v>
      </c>
      <c r="C26" s="74" t="str">
        <f>'Данные'!D8</f>
        <v>кг</v>
      </c>
      <c r="D26" s="86">
        <f>_xlfn.FORECAST.LINEAR('Данные'!F$4,'Сезонность'!$D39:$AA39,Periods)*INDEX('Сезонность'!$D8:$O8,'Данные'!F$5)</f>
        <v>32.6386261886847</v>
      </c>
      <c r="E26" s="86">
        <f>_xlfn.FORECAST.LINEAR('Данные'!G$4,'Сезонность'!$D39:$AA39,Periods)*INDEX('Сезонность'!$D8:$O8,'Данные'!G$5)</f>
        <v>33.2743635459451</v>
      </c>
      <c r="F26" s="86">
        <f>_xlfn.FORECAST.LINEAR('Данные'!H$4,'Сезонность'!$D39:$AA39,Periods)*INDEX('Сезонность'!$D8:$O8,'Данные'!H$5)</f>
        <v>32.9777532168761</v>
      </c>
      <c r="G26" s="86">
        <f>_xlfn.FORECAST.LINEAR('Данные'!I$4,'Сезонность'!$D39:$AA39,Periods)*INDEX('Сезонность'!$D8:$O8,'Данные'!I$5)</f>
        <v>36.3577863853836</v>
      </c>
      <c r="H26" s="86">
        <f>_xlfn.FORECAST.LINEAR('Данные'!J$4,'Сезонность'!$D39:$AA39,Periods)*INDEX('Сезонность'!$D8:$O8,'Данные'!J$5)</f>
        <v>33.4924908898935</v>
      </c>
      <c r="I26" s="86">
        <f>_xlfn.FORECAST.LINEAR('Данные'!K$4,'Сезонность'!$D39:$AA39,Periods)*INDEX('Сезонность'!$D8:$O8,'Данные'!K$5)</f>
        <v>35.1226108513835</v>
      </c>
      <c r="J26" s="86">
        <f>_xlfn.FORECAST.LINEAR('Данные'!L$4,'Сезонность'!$D39:$AA39,Periods)*INDEX('Сезонность'!$D8:$O8,'Данные'!L$5)</f>
        <v>34.5874284205261</v>
      </c>
      <c r="K26" s="86">
        <f>_xlfn.FORECAST.LINEAR('Данные'!M$4,'Сезонность'!$D39:$AA39,Periods)*INDEX('Сезонность'!$D8:$O8,'Данные'!M$5)</f>
        <v>43.3313679995222</v>
      </c>
      <c r="L26" s="86">
        <f>_xlfn.FORECAST.LINEAR('Данные'!N$4,'Сезонность'!$D39:$AA39,Periods)*INDEX('Сезонность'!$D8:$O8,'Данные'!N$5)</f>
        <v>43.46537060281</v>
      </c>
      <c r="M26" s="86">
        <f>_xlfn.FORECAST.LINEAR('Данные'!O$4,'Сезонность'!$D39:$AA39,Periods)*INDEX('Сезонность'!$D8:$O8,'Данные'!O$5)</f>
        <v>45.7837767642831</v>
      </c>
      <c r="N26" s="86">
        <f>_xlfn.FORECAST.LINEAR('Данные'!P$4,'Сезонность'!$D39:$AA39,Periods)*INDEX('Сезонность'!$D8:$O8,'Данные'!P$5)</f>
        <v>44.9534758031246</v>
      </c>
      <c r="O26" s="86">
        <f>_xlfn.FORECAST.LINEAR('Данные'!Q$4,'Сезонность'!$D39:$AA39,Periods)*INDEX('Сезонность'!$D8:$O8,'Данные'!Q$5)</f>
        <v>40.0754882419862</v>
      </c>
      <c r="P26" s="86">
        <f>_xlfn.FORECAST.LINEAR('Данные'!R$4,'Сезонность'!$D39:$AA39,Periods)*INDEX('Сезонность'!$D8:$O8,'Данные'!R$5)</f>
        <v>39.6382013192885</v>
      </c>
      <c r="Q26" s="86">
        <f>_xlfn.FORECAST.LINEAR('Данные'!S$4,'Сезонность'!$D39:$AA39,Periods)*INDEX('Сезонность'!$D8:$O8,'Данные'!S$5)</f>
        <v>40.2849872156635</v>
      </c>
      <c r="R26" s="86">
        <f>_xlfn.FORECAST.LINEAR('Данные'!T$4,'Сезонность'!$D39:$AA39,Periods)*INDEX('Сезонность'!$D8:$O8,'Данные'!T$5)</f>
        <v>39.8059959357394</v>
      </c>
      <c r="S26" s="86">
        <f>_xlfn.FORECAST.LINEAR('Данные'!U$4,'Сезонность'!$D39:$AA39,Periods)*INDEX('Сезонность'!$D8:$O8,'Данные'!U$5)</f>
        <v>43.7581937771255</v>
      </c>
      <c r="T26" s="86">
        <f>_xlfn.FORECAST.LINEAR('Данные'!V$4,'Сезонность'!$D39:$AA39,Periods)*INDEX('Сезонность'!$D8:$O8,'Данные'!V$5)</f>
        <v>40.1959801672507</v>
      </c>
      <c r="U26" s="86">
        <f>_xlfn.FORECAST.LINEAR('Данные'!W$4,'Сезонность'!$D39:$AA39,Periods)*INDEX('Сезонность'!$D8:$O8,'Данные'!W$5)</f>
        <v>42.0370406801967</v>
      </c>
      <c r="V26" s="86">
        <f>_xlfn.FORECAST.LINEAR('Данные'!X$4,'Сезонность'!$D39:$AA39,Periods)*INDEX('Сезонность'!$D8:$O8,'Данные'!X$5)</f>
        <v>41.2865963876632</v>
      </c>
      <c r="W26" s="86">
        <f>_xlfn.FORECAST.LINEAR('Данные'!Y$4,'Сезонность'!$D39:$AA39,Periods)*INDEX('Сезонность'!$D8:$O8,'Данные'!Y$5)</f>
        <v>51.5908186606141</v>
      </c>
      <c r="X26" s="86">
        <f>_xlfn.FORECAST.LINEAR('Данные'!Z$4,'Сезонность'!$D39:$AA39,Periods)*INDEX('Сезонность'!$D8:$O8,'Данные'!Z$5)</f>
        <v>51.6208202408606</v>
      </c>
      <c r="Y26" s="86">
        <f>_xlfn.FORECAST.LINEAR('Данные'!AA$4,'Сезонность'!$D39:$AA39,Periods)*INDEX('Сезонность'!$D8:$O8,'Данные'!AA$5)</f>
        <v>54.241979467439</v>
      </c>
      <c r="Z26" s="86">
        <f>_xlfn.FORECAST.LINEAR('Данные'!AB$4,'Сезонность'!$D39:$AA39,Periods)*INDEX('Сезонность'!$D8:$O8,'Данные'!AB$5)</f>
        <v>53.1323710550696</v>
      </c>
      <c r="AA26" s="86">
        <f>_xlfn.FORECAST.LINEAR('Данные'!AC$4,'Сезонность'!$D39:$AA39,Periods)*INDEX('Сезонность'!$D8:$O8,'Данные'!AC$5)</f>
        <v>47.2579766489285</v>
      </c>
    </row>
    <row r="27" ht="17" customHeight="1">
      <c r="A27" s="60" t="str">
        <f>'Данные'!A9</f>
        <v>MLK-03</v>
      </c>
      <c r="B27" s="61" t="str">
        <f>'Данные'!B9</f>
        <v>Молоко 3,2 %</v>
      </c>
      <c r="C27" s="62" t="str">
        <f>'Данные'!D9</f>
        <v>л</v>
      </c>
      <c r="D27" s="80">
        <f>_xlfn.FORECAST.LINEAR('Данные'!F$4,'Сезонность'!$D40:$AA40,Periods)*INDEX('Сезонность'!$D9:$O9,'Данные'!F$5)</f>
        <v>3712.95231447362</v>
      </c>
      <c r="E27" s="80">
        <f>_xlfn.FORECAST.LINEAR('Данные'!G$4,'Сезонность'!$D40:$AA40,Periods)*INDEX('Сезонность'!$D9:$O9,'Данные'!G$5)</f>
        <v>3812.60876454365</v>
      </c>
      <c r="F27" s="80">
        <f>_xlfn.FORECAST.LINEAR('Данные'!H$4,'Сезонность'!$D40:$AA40,Periods)*INDEX('Сезонность'!$D9:$O9,'Данные'!H$5)</f>
        <v>3853.65040563532</v>
      </c>
      <c r="G27" s="80">
        <f>_xlfn.FORECAST.LINEAR('Данные'!I$4,'Сезонность'!$D40:$AA40,Periods)*INDEX('Сезонность'!$D9:$O9,'Данные'!I$5)</f>
        <v>3164.0693776026</v>
      </c>
      <c r="H27" s="80">
        <f>_xlfn.FORECAST.LINEAR('Данные'!J$4,'Сезонность'!$D40:$AA40,Periods)*INDEX('Сезонность'!$D9:$O9,'Данные'!J$5)</f>
        <v>3253.93124356081</v>
      </c>
      <c r="I27" s="80">
        <f>_xlfn.FORECAST.LINEAR('Данные'!K$4,'Сезонность'!$D40:$AA40,Periods)*INDEX('Сезонность'!$D9:$O9,'Данные'!K$5)</f>
        <v>3716.11795374064</v>
      </c>
      <c r="J27" s="80">
        <f>_xlfn.FORECAST.LINEAR('Данные'!L$4,'Сезонность'!$D40:$AA40,Periods)*INDEX('Сезонность'!$D9:$O9,'Данные'!L$5)</f>
        <v>3460.05057880364</v>
      </c>
      <c r="K27" s="80">
        <f>_xlfn.FORECAST.LINEAR('Данные'!M$4,'Сезонность'!$D40:$AA40,Periods)*INDEX('Сезонность'!$D9:$O9,'Данные'!M$5)</f>
        <v>3497.2295865447</v>
      </c>
      <c r="L27" s="80">
        <f>_xlfn.FORECAST.LINEAR('Данные'!N$4,'Сезонность'!$D40:$AA40,Periods)*INDEX('Сезонность'!$D9:$O9,'Данные'!N$5)</f>
        <v>3255.6467210804</v>
      </c>
      <c r="M27" s="80">
        <f>_xlfn.FORECAST.LINEAR('Данные'!O$4,'Сезонность'!$D40:$AA40,Periods)*INDEX('Сезонность'!$D9:$O9,'Данные'!O$5)</f>
        <v>3296.76915043233</v>
      </c>
      <c r="N27" s="80">
        <f>_xlfn.FORECAST.LINEAR('Данные'!P$4,'Сезонность'!$D40:$AA40,Periods)*INDEX('Сезонность'!$D9:$O9,'Данные'!P$5)</f>
        <v>3325.32267962412</v>
      </c>
      <c r="O27" s="80">
        <f>_xlfn.FORECAST.LINEAR('Данные'!Q$4,'Сезонность'!$D40:$AA40,Periods)*INDEX('Сезонность'!$D9:$O9,'Данные'!Q$5)</f>
        <v>3603.32585502137</v>
      </c>
      <c r="P27" s="80">
        <f>_xlfn.FORECAST.LINEAR('Данные'!R$4,'Сезонность'!$D40:$AA40,Periods)*INDEX('Сезонность'!$D9:$O9,'Данные'!R$5)</f>
        <v>3728.99978714242</v>
      </c>
      <c r="Q27" s="80">
        <f>_xlfn.FORECAST.LINEAR('Данные'!S$4,'Сезонность'!$D40:$AA40,Periods)*INDEX('Сезонность'!$D9:$O9,'Данные'!S$5)</f>
        <v>3829.08102208712</v>
      </c>
      <c r="R27" s="80">
        <f>_xlfn.FORECAST.LINEAR('Данные'!T$4,'Сезонность'!$D40:$AA40,Periods)*INDEX('Сезонность'!$D9:$O9,'Данные'!T$5)</f>
        <v>3870.29398997148</v>
      </c>
      <c r="S27" s="80">
        <f>_xlfn.FORECAST.LINEAR('Данные'!U$4,'Сезонность'!$D40:$AA40,Periods)*INDEX('Сезонность'!$D9:$O9,'Данные'!U$5)</f>
        <v>3177.72980432837</v>
      </c>
      <c r="T27" s="80">
        <f>_xlfn.FORECAST.LINEAR('Данные'!V$4,'Сезонность'!$D40:$AA40,Periods)*INDEX('Сезонность'!$D9:$O9,'Данные'!V$5)</f>
        <v>3267.97458380366</v>
      </c>
      <c r="U27" s="80">
        <f>_xlfn.FORECAST.LINEAR('Данные'!W$4,'Сезонность'!$D40:$AA40,Periods)*INDEX('Сезонность'!$D9:$O9,'Данные'!W$5)</f>
        <v>3732.15023674491</v>
      </c>
      <c r="V27" s="80">
        <f>_xlfn.FORECAST.LINEAR('Данные'!X$4,'Сезонность'!$D40:$AA40,Periods)*INDEX('Сезонность'!$D9:$O9,'Данные'!X$5)</f>
        <v>3474.97275683915</v>
      </c>
      <c r="W27" s="80">
        <f>_xlfn.FORECAST.LINEAR('Данные'!Y$4,'Сезонность'!$D40:$AA40,Periods)*INDEX('Сезонность'!$D9:$O9,'Данные'!Y$5)</f>
        <v>3512.30668808813</v>
      </c>
      <c r="X27" s="80">
        <f>_xlfn.FORECAST.LINEAR('Данные'!Z$4,'Сезонность'!$D40:$AA40,Periods)*INDEX('Сезонность'!$D9:$O9,'Данные'!Z$5)</f>
        <v>3269.67728059657</v>
      </c>
      <c r="Y27" s="80">
        <f>_xlfn.FORECAST.LINEAR('Данные'!AA$4,'Сезонность'!$D40:$AA40,Periods)*INDEX('Сезонность'!$D9:$O9,'Данные'!AA$5)</f>
        <v>3310.9718308135</v>
      </c>
      <c r="Z27" s="80">
        <f>_xlfn.FORECAST.LINEAR('Данные'!AB$4,'Сезонность'!$D40:$AA40,Periods)*INDEX('Сезонность'!$D9:$O9,'Данные'!AB$5)</f>
        <v>3339.64322918228</v>
      </c>
      <c r="AA27" s="80">
        <f>_xlfn.FORECAST.LINEAR('Данные'!AC$4,'Сезонность'!$D40:$AA40,Periods)*INDEX('Сезонность'!$D9:$O9,'Данные'!AC$5)</f>
        <v>3618.83806225851</v>
      </c>
    </row>
    <row r="28" ht="17" customHeight="1">
      <c r="A28" s="72" t="str">
        <f>'Данные'!A10</f>
        <v>OAT-04</v>
      </c>
      <c r="B28" s="73" t="str">
        <f>'Данные'!B10</f>
        <v>Напиток овсяный «Бариста»</v>
      </c>
      <c r="C28" s="74" t="str">
        <f>'Данные'!D10</f>
        <v>л</v>
      </c>
      <c r="D28" s="86">
        <f>_xlfn.FORECAST.LINEAR('Данные'!F$4,'Сезонность'!$D41:$AA41,Periods)*INDEX('Сезонность'!$D10:$O10,'Данные'!F$5)</f>
        <v>402.173202185475</v>
      </c>
      <c r="E28" s="86">
        <f>_xlfn.FORECAST.LINEAR('Данные'!G$4,'Сезонность'!$D41:$AA41,Periods)*INDEX('Сезонность'!$D10:$O10,'Данные'!G$5)</f>
        <v>365.243072594662</v>
      </c>
      <c r="F28" s="86">
        <f>_xlfn.FORECAST.LINEAR('Данные'!H$4,'Сезонность'!$D41:$AA41,Periods)*INDEX('Сезонность'!$D10:$O10,'Данные'!H$5)</f>
        <v>407.156207299186</v>
      </c>
      <c r="G28" s="86">
        <f>_xlfn.FORECAST.LINEAR('Данные'!I$4,'Сезонность'!$D41:$AA41,Periods)*INDEX('Сезонность'!$D10:$O10,'Данные'!I$5)</f>
        <v>380.82196878496</v>
      </c>
      <c r="H28" s="86">
        <f>_xlfn.FORECAST.LINEAR('Данные'!J$4,'Сезонность'!$D41:$AA41,Periods)*INDEX('Сезонность'!$D10:$O10,'Данные'!J$5)</f>
        <v>384.762747683039</v>
      </c>
      <c r="I28" s="86">
        <f>_xlfn.FORECAST.LINEAR('Данные'!K$4,'Сезонность'!$D41:$AA41,Periods)*INDEX('Сезонность'!$D10:$O10,'Данные'!K$5)</f>
        <v>422.438195276698</v>
      </c>
      <c r="J28" s="86">
        <f>_xlfn.FORECAST.LINEAR('Данные'!L$4,'Сезонность'!$D41:$AA41,Periods)*INDEX('Сезонность'!$D10:$O10,'Данные'!L$5)</f>
        <v>454.111821494296</v>
      </c>
      <c r="K28" s="86">
        <f>_xlfn.FORECAST.LINEAR('Данные'!M$4,'Сезонность'!$D41:$AA41,Periods)*INDEX('Сезонность'!$D10:$O10,'Данные'!M$5)</f>
        <v>414.063376523016</v>
      </c>
      <c r="L28" s="86">
        <f>_xlfn.FORECAST.LINEAR('Данные'!N$4,'Сезонность'!$D41:$AA41,Periods)*INDEX('Сезонность'!$D10:$O10,'Данные'!N$5)</f>
        <v>442.810812080393</v>
      </c>
      <c r="M28" s="86">
        <f>_xlfn.FORECAST.LINEAR('Данные'!O$4,'Сезонность'!$D41:$AA41,Periods)*INDEX('Сезонность'!$D10:$O10,'Данные'!O$5)</f>
        <v>422.779881587322</v>
      </c>
      <c r="N28" s="86">
        <f>_xlfn.FORECAST.LINEAR('Данные'!P$4,'Сезонность'!$D41:$AA41,Periods)*INDEX('Сезонность'!$D10:$O10,'Данные'!P$5)</f>
        <v>469.383323615827</v>
      </c>
      <c r="O28" s="86">
        <f>_xlfn.FORECAST.LINEAR('Данные'!Q$4,'Сезонность'!$D41:$AA41,Periods)*INDEX('Сезонность'!$D10:$O10,'Данные'!Q$5)</f>
        <v>545.891327591424</v>
      </c>
      <c r="P28" s="86">
        <f>_xlfn.FORECAST.LINEAR('Данные'!R$4,'Сезонность'!$D41:$AA41,Periods)*INDEX('Сезонность'!$D10:$O10,'Данные'!R$5)</f>
        <v>545.441107162372</v>
      </c>
      <c r="Q28" s="86">
        <f>_xlfn.FORECAST.LINEAR('Данные'!S$4,'Сезонность'!$D41:$AA41,Periods)*INDEX('Сезонность'!$D10:$O10,'Данные'!S$5)</f>
        <v>491.604021493062</v>
      </c>
      <c r="R28" s="86">
        <f>_xlfn.FORECAST.LINEAR('Данные'!T$4,'Сезонность'!$D41:$AA41,Periods)*INDEX('Сезонность'!$D10:$O10,'Данные'!T$5)</f>
        <v>544.070312193633</v>
      </c>
      <c r="S28" s="86">
        <f>_xlfn.FORECAST.LINEAR('Данные'!U$4,'Сезонность'!$D41:$AA41,Periods)*INDEX('Сезонность'!$D10:$O10,'Данные'!U$5)</f>
        <v>505.389980407064</v>
      </c>
      <c r="T28" s="86">
        <f>_xlfn.FORECAST.LINEAR('Данные'!V$4,'Сезонность'!$D41:$AA41,Periods)*INDEX('Сезонность'!$D10:$O10,'Данные'!V$5)</f>
        <v>507.280149057757</v>
      </c>
      <c r="U28" s="86">
        <f>_xlfn.FORECAST.LINEAR('Данные'!W$4,'Сезонность'!$D41:$AA41,Periods)*INDEX('Сезонность'!$D10:$O10,'Данные'!W$5)</f>
        <v>553.47523164612</v>
      </c>
      <c r="V28" s="86">
        <f>_xlfn.FORECAST.LINEAR('Данные'!X$4,'Сезонность'!$D41:$AA41,Periods)*INDEX('Сезонность'!$D10:$O10,'Данные'!X$5)</f>
        <v>591.424330705992</v>
      </c>
      <c r="W28" s="86">
        <f>_xlfn.FORECAST.LINEAR('Данные'!Y$4,'Сезонность'!$D41:$AA41,Periods)*INDEX('Сезонность'!$D10:$O10,'Данные'!Y$5)</f>
        <v>536.188879480414</v>
      </c>
      <c r="X28" s="86">
        <f>_xlfn.FORECAST.LINEAR('Данные'!Z$4,'Сезонность'!$D41:$AA41,Periods)*INDEX('Сезонность'!$D10:$O10,'Данные'!Z$5)</f>
        <v>570.28212355286</v>
      </c>
      <c r="Y28" s="86">
        <f>_xlfn.FORECAST.LINEAR('Данные'!AA$4,'Сезонность'!$D41:$AA41,Periods)*INDEX('Сезонность'!$D10:$O10,'Данные'!AA$5)</f>
        <v>541.633727444798</v>
      </c>
      <c r="Z28" s="86">
        <f>_xlfn.FORECAST.LINEAR('Данные'!AB$4,'Сезонность'!$D41:$AA41,Periods)*INDEX('Сезонность'!$D10:$O10,'Данные'!AB$5)</f>
        <v>598.317986440119</v>
      </c>
      <c r="AA28" s="86">
        <f>_xlfn.FORECAST.LINEAR('Данные'!AC$4,'Сезонность'!$D41:$AA41,Periods)*INDEX('Сезонность'!$D10:$O10,'Данные'!AC$5)</f>
        <v>692.486260654082</v>
      </c>
    </row>
    <row r="29" ht="17" customHeight="1">
      <c r="A29" s="60" t="str">
        <f>'Данные'!A11</f>
        <v>SYR-05</v>
      </c>
      <c r="B29" s="61" t="str">
        <f>'Данные'!B11</f>
        <v>Сироп «Ваниль», 1 л</v>
      </c>
      <c r="C29" s="62" t="str">
        <f>'Данные'!D11</f>
        <v>бут.</v>
      </c>
      <c r="D29" s="80">
        <f>_xlfn.FORECAST.LINEAR('Данные'!F$4,'Сезонность'!$D42:$AA42,Periods)*INDEX('Сезонность'!$D11:$O11,'Данные'!F$5)</f>
        <v>37.5507450843385</v>
      </c>
      <c r="E29" s="80">
        <f>_xlfn.FORECAST.LINEAR('Данные'!G$4,'Сезонность'!$D42:$AA42,Periods)*INDEX('Сезонность'!$D11:$O11,'Данные'!G$5)</f>
        <v>39.4870827389096</v>
      </c>
      <c r="F29" s="80">
        <f>_xlfn.FORECAST.LINEAR('Данные'!H$4,'Сезонность'!$D42:$AA42,Periods)*INDEX('Сезонность'!$D11:$O11,'Данные'!H$5)</f>
        <v>35.198782003575</v>
      </c>
      <c r="G29" s="80">
        <f>_xlfn.FORECAST.LINEAR('Данные'!I$4,'Сезонность'!$D42:$AA42,Periods)*INDEX('Сезонность'!$D11:$O11,'Данные'!I$5)</f>
        <v>31.4440891319742</v>
      </c>
      <c r="H29" s="80">
        <f>_xlfn.FORECAST.LINEAR('Данные'!J$4,'Сезонность'!$D42:$AA42,Periods)*INDEX('Сезонность'!$D11:$O11,'Данные'!J$5)</f>
        <v>35.5689429111383</v>
      </c>
      <c r="I29" s="80">
        <f>_xlfn.FORECAST.LINEAR('Данные'!K$4,'Сезонность'!$D42:$AA42,Periods)*INDEX('Сезонность'!$D11:$O11,'Данные'!K$5)</f>
        <v>39.1448734700292</v>
      </c>
      <c r="J29" s="80">
        <f>_xlfn.FORECAST.LINEAR('Данные'!L$4,'Сезонность'!$D42:$AA42,Periods)*INDEX('Сезонность'!$D11:$O11,'Данные'!L$5)</f>
        <v>43.5141547804874</v>
      </c>
      <c r="K29" s="80">
        <f>_xlfn.FORECAST.LINEAR('Данные'!M$4,'Сезонность'!$D42:$AA42,Periods)*INDEX('Сезонность'!$D11:$O11,'Данные'!M$5)</f>
        <v>46.6452278563471</v>
      </c>
      <c r="L29" s="80">
        <f>_xlfn.FORECAST.LINEAR('Данные'!N$4,'Сезонность'!$D42:$AA42,Periods)*INDEX('Сезонность'!$D11:$O11,'Данные'!N$5)</f>
        <v>45.1251534534863</v>
      </c>
      <c r="M29" s="80">
        <f>_xlfn.FORECAST.LINEAR('Данные'!O$4,'Сезонность'!$D42:$AA42,Periods)*INDEX('Сезонность'!$D11:$O11,'Данные'!O$5)</f>
        <v>46.7924097775265</v>
      </c>
      <c r="N29" s="80">
        <f>_xlfn.FORECAST.LINEAR('Данные'!P$4,'Сезонность'!$D42:$AA42,Periods)*INDEX('Сезонность'!$D11:$O11,'Данные'!P$5)</f>
        <v>45.2975858949986</v>
      </c>
      <c r="O29" s="80">
        <f>_xlfn.FORECAST.LINEAR('Данные'!Q$4,'Сезонность'!$D42:$AA42,Periods)*INDEX('Сезонность'!$D11:$O11,'Данные'!Q$5)</f>
        <v>42.5027455983264</v>
      </c>
      <c r="P29" s="80">
        <f>_xlfn.FORECAST.LINEAR('Данные'!R$4,'Сезонность'!$D42:$AA42,Periods)*INDEX('Сезонность'!$D11:$O11,'Данные'!R$5)</f>
        <v>40.3720634587789</v>
      </c>
      <c r="Q29" s="80">
        <f>_xlfn.FORECAST.LINEAR('Данные'!S$4,'Сезонность'!$D42:$AA42,Periods)*INDEX('Сезонность'!$D11:$O11,'Данные'!S$5)</f>
        <v>42.4354249753117</v>
      </c>
      <c r="R29" s="80">
        <f>_xlfn.FORECAST.LINEAR('Данные'!T$4,'Сезонность'!$D42:$AA42,Periods)*INDEX('Сезонность'!$D11:$O11,'Данные'!T$5)</f>
        <v>37.8106823304593</v>
      </c>
      <c r="S29" s="80">
        <f>_xlfn.FORECAST.LINEAR('Данные'!U$4,'Сезонность'!$D42:$AA42,Periods)*INDEX('Сезонность'!$D11:$O11,'Данные'!U$5)</f>
        <v>33.7630355263025</v>
      </c>
      <c r="T29" s="80">
        <f>_xlfn.FORECAST.LINEAR('Данные'!V$4,'Сезонность'!$D42:$AA42,Periods)*INDEX('Сезонность'!$D11:$O11,'Данные'!V$5)</f>
        <v>38.1760674615364</v>
      </c>
      <c r="U29" s="80">
        <f>_xlfn.FORECAST.LINEAR('Данные'!W$4,'Сезонность'!$D42:$AA42,Periods)*INDEX('Сезонность'!$D11:$O11,'Данные'!W$5)</f>
        <v>41.996686494673</v>
      </c>
      <c r="V29" s="80">
        <f>_xlfn.FORECAST.LINEAR('Данные'!X$4,'Сезонность'!$D42:$AA42,Periods)*INDEX('Сезонность'!$D11:$O11,'Данные'!X$5)</f>
        <v>46.6651522028276</v>
      </c>
      <c r="W29" s="80">
        <f>_xlfn.FORECAST.LINEAR('Данные'!Y$4,'Сезонность'!$D42:$AA42,Periods)*INDEX('Сезонность'!$D11:$O11,'Данные'!Y$5)</f>
        <v>50.0026957672469</v>
      </c>
      <c r="X29" s="80">
        <f>_xlfn.FORECAST.LINEAR('Данные'!Z$4,'Сезонность'!$D42:$AA42,Periods)*INDEX('Сезонность'!$D11:$O11,'Данные'!Z$5)</f>
        <v>48.3538417922096</v>
      </c>
      <c r="Y29" s="80">
        <f>_xlfn.FORECAST.LINEAR('Данные'!AA$4,'Сезонность'!$D42:$AA42,Periods)*INDEX('Сезонность'!$D11:$O11,'Данные'!AA$5)</f>
        <v>50.1205457903985</v>
      </c>
      <c r="Z29" s="80">
        <f>_xlfn.FORECAST.LINEAR('Данные'!AB$4,'Сезонность'!$D42:$AA42,Periods)*INDEX('Сезонность'!$D11:$O11,'Данные'!AB$5)</f>
        <v>48.5004181317509</v>
      </c>
      <c r="AA29" s="80">
        <f>_xlfn.FORECAST.LINEAR('Данные'!AC$4,'Сезонность'!$D42:$AA42,Periods)*INDEX('Сезонность'!$D11:$O11,'Данные'!AC$5)</f>
        <v>45.490360909966</v>
      </c>
    </row>
    <row r="30" ht="17" customHeight="1">
      <c r="A30" s="72" t="str">
        <f>'Данные'!A12</f>
        <v>SYR-06</v>
      </c>
      <c r="B30" s="73" t="str">
        <f>'Данные'!B12</f>
        <v>Сироп «Тыквенный пряный», 1 л</v>
      </c>
      <c r="C30" s="74" t="str">
        <f>'Данные'!D12</f>
        <v>бут.</v>
      </c>
      <c r="D30" s="86">
        <f>_xlfn.FORECAST.LINEAR('Данные'!F$4,'Сезонность'!$D43:$AA43,Periods)*INDEX('Сезонность'!$D12:$O12,'Данные'!F$5)</f>
        <v>78.6388256120949</v>
      </c>
      <c r="E30" s="86">
        <f>_xlfn.FORECAST.LINEAR('Данные'!G$4,'Сезонность'!$D43:$AA43,Periods)*INDEX('Сезонность'!$D12:$O12,'Данные'!G$5)</f>
        <v>59.8649340705786</v>
      </c>
      <c r="F30" s="86">
        <f>_xlfn.FORECAST.LINEAR('Данные'!H$4,'Сезонность'!$D43:$AA43,Periods)*INDEX('Сезонность'!$D12:$O12,'Данные'!H$5)</f>
        <v>49.1138945574521</v>
      </c>
      <c r="G30" s="86">
        <f>_xlfn.FORECAST.LINEAR('Данные'!I$4,'Сезонность'!$D43:$AA43,Periods)*INDEX('Сезонность'!$D12:$O12,'Данные'!I$5)</f>
        <v>10.8232391485376</v>
      </c>
      <c r="H30" s="86">
        <f>_xlfn.FORECAST.LINEAR('Данные'!J$4,'Сезонность'!$D43:$AA43,Periods)*INDEX('Сезонность'!$D12:$O12,'Данные'!J$5)</f>
        <v>4.74200272648127</v>
      </c>
      <c r="I30" s="86">
        <f>_xlfn.FORECAST.LINEAR('Данные'!K$4,'Сезонность'!$D43:$AA43,Periods)*INDEX('Сезонность'!$D12:$O12,'Данные'!K$5)</f>
        <v>3.79245720702065</v>
      </c>
      <c r="J30" s="86">
        <f>_xlfn.FORECAST.LINEAR('Данные'!L$4,'Сезонность'!$D43:$AA43,Periods)*INDEX('Сезонность'!$D12:$O12,'Данные'!L$5)</f>
        <v>1.89566881657752</v>
      </c>
      <c r="K30" s="86">
        <f>_xlfn.FORECAST.LINEAR('Данные'!M$4,'Сезонность'!$D43:$AA43,Periods)*INDEX('Сезонность'!$D12:$O12,'Данные'!M$5)</f>
        <v>2.396651052057</v>
      </c>
      <c r="L30" s="86">
        <f>_xlfn.FORECAST.LINEAR('Данные'!N$4,'Сезонность'!$D43:$AA43,Periods)*INDEX('Сезонность'!$D12:$O12,'Данные'!N$5)</f>
        <v>2.34075875132894</v>
      </c>
      <c r="M30" s="86">
        <f>_xlfn.FORECAST.LINEAR('Данные'!O$4,'Сезонность'!$D43:$AA43,Periods)*INDEX('Сезонность'!$D12:$O12,'Данные'!O$5)</f>
        <v>2.84109240153634</v>
      </c>
      <c r="N30" s="86">
        <f>_xlfn.FORECAST.LINEAR('Данные'!P$4,'Сезонность'!$D43:$AA43,Periods)*INDEX('Сезонность'!$D12:$O12,'Данные'!P$5)</f>
        <v>8.41321884918646</v>
      </c>
      <c r="O30" s="86">
        <f>_xlfn.FORECAST.LINEAR('Данные'!Q$4,'Сезонность'!$D43:$AA43,Periods)*INDEX('Сезонность'!$D12:$O12,'Данные'!Q$5)</f>
        <v>45.5062168007759</v>
      </c>
      <c r="P30" s="86">
        <f>_xlfn.FORECAST.LINEAR('Данные'!R$4,'Сезонность'!$D43:$AA43,Periods)*INDEX('Сезонность'!$D12:$O12,'Данные'!R$5)</f>
        <v>88.2890513106186</v>
      </c>
      <c r="Q30" s="86">
        <f>_xlfn.FORECAST.LINEAR('Данные'!S$4,'Сезонность'!$D43:$AA43,Periods)*INDEX('Сезонность'!$D12:$O12,'Данные'!S$5)</f>
        <v>67.1369409759546</v>
      </c>
      <c r="R30" s="86">
        <f>_xlfn.FORECAST.LINEAR('Данные'!T$4,'Сезонность'!$D43:$AA43,Periods)*INDEX('Сезонность'!$D12:$O12,'Данные'!T$5)</f>
        <v>55.0201465851801</v>
      </c>
      <c r="S30" s="86">
        <f>_xlfn.FORECAST.LINEAR('Данные'!U$4,'Сезонность'!$D43:$AA43,Periods)*INDEX('Сезонность'!$D12:$O12,'Данные'!U$5)</f>
        <v>12.1118871388354</v>
      </c>
      <c r="T30" s="86">
        <f>_xlfn.FORECAST.LINEAR('Данные'!V$4,'Сезонность'!$D43:$AA43,Periods)*INDEX('Сезонность'!$D12:$O12,'Данные'!V$5)</f>
        <v>5.30105323415837</v>
      </c>
      <c r="U30" s="86">
        <f>_xlfn.FORECAST.LINEAR('Данные'!W$4,'Сезонность'!$D43:$AA43,Periods)*INDEX('Сезонность'!$D12:$O12,'Данные'!W$5)</f>
        <v>4.23521280061319</v>
      </c>
      <c r="V30" s="86">
        <f>_xlfn.FORECAST.LINEAR('Данные'!X$4,'Сезонность'!$D43:$AA43,Periods)*INDEX('Сезонность'!$D12:$O12,'Данные'!X$5)</f>
        <v>2.11484888723876</v>
      </c>
      <c r="W30" s="86">
        <f>_xlfn.FORECAST.LINEAR('Данные'!Y$4,'Сезонность'!$D43:$AA43,Periods)*INDEX('Сезонность'!$D12:$O12,'Данные'!Y$5)</f>
        <v>2.67111098414776</v>
      </c>
      <c r="X30" s="86">
        <f>_xlfn.FORECAST.LINEAR('Данные'!Z$4,'Сезонность'!$D43:$AA43,Periods)*INDEX('Сезонность'!$D12:$O12,'Данные'!Z$5)</f>
        <v>2.60628404871987</v>
      </c>
      <c r="Y30" s="86">
        <f>_xlfn.FORECAST.LINEAR('Данные'!AA$4,'Сезонность'!$D43:$AA43,Periods)*INDEX('Сезонность'!$D12:$O12,'Данные'!AA$5)</f>
        <v>3.16035534934978</v>
      </c>
      <c r="Z30" s="86">
        <f>_xlfn.FORECAST.LINEAR('Данные'!AB$4,'Сезонность'!$D43:$AA43,Periods)*INDEX('Сезонность'!$D12:$O12,'Данные'!AB$5)</f>
        <v>9.3498688663266</v>
      </c>
      <c r="AA30" s="86">
        <f>_xlfn.FORECAST.LINEAR('Данные'!AC$4,'Сезонность'!$D43:$AA43,Periods)*INDEX('Сезонность'!$D12:$O12,'Данные'!AC$5)</f>
        <v>50.5258880161146</v>
      </c>
    </row>
    <row r="31" ht="17" customHeight="1">
      <c r="A31" s="60" t="str">
        <f>'Данные'!A13</f>
        <v>CUP-07</v>
      </c>
      <c r="B31" s="61" t="str">
        <f>'Данные'!B13</f>
        <v>Стакан бумажный 300 мл</v>
      </c>
      <c r="C31" s="62" t="str">
        <f>'Данные'!D13</f>
        <v>шт.</v>
      </c>
      <c r="D31" s="80">
        <f>_xlfn.FORECAST.LINEAR('Данные'!F$4,'Сезонность'!$D44:$AA44,Periods)*INDEX('Сезонность'!$D13:$O13,'Данные'!F$5)</f>
        <v>11575.6626338407</v>
      </c>
      <c r="E31" s="80">
        <f>_xlfn.FORECAST.LINEAR('Данные'!G$4,'Сезонность'!$D44:$AA44,Periods)*INDEX('Сезонность'!$D13:$O13,'Данные'!G$5)</f>
        <v>10905.768268601</v>
      </c>
      <c r="F31" s="80">
        <f>_xlfn.FORECAST.LINEAR('Данные'!H$4,'Сезонность'!$D44:$AA44,Periods)*INDEX('Сезонность'!$D13:$O13,'Данные'!H$5)</f>
        <v>11919.1942456894</v>
      </c>
      <c r="G31" s="80">
        <f>_xlfn.FORECAST.LINEAR('Данные'!I$4,'Сезонность'!$D44:$AA44,Periods)*INDEX('Сезонность'!$D13:$O13,'Данные'!I$5)</f>
        <v>11005.2416880317</v>
      </c>
      <c r="H31" s="80">
        <f>_xlfn.FORECAST.LINEAR('Данные'!J$4,'Сезонность'!$D44:$AA44,Periods)*INDEX('Сезонность'!$D13:$O13,'Данные'!J$5)</f>
        <v>11456.5838246588</v>
      </c>
      <c r="I31" s="80">
        <f>_xlfn.FORECAST.LINEAR('Данные'!K$4,'Сезонность'!$D44:$AA44,Periods)*INDEX('Сезонность'!$D13:$O13,'Данные'!K$5)</f>
        <v>13379.6541295555</v>
      </c>
      <c r="J31" s="80">
        <f>_xlfn.FORECAST.LINEAR('Данные'!L$4,'Сезонность'!$D44:$AA44,Periods)*INDEX('Сезонность'!$D13:$O13,'Данные'!L$5)</f>
        <v>13595.4513995951</v>
      </c>
      <c r="K31" s="80">
        <f>_xlfn.FORECAST.LINEAR('Данные'!M$4,'Сезонность'!$D44:$AA44,Periods)*INDEX('Сезонность'!$D13:$O13,'Данные'!M$5)</f>
        <v>14708.5474784461</v>
      </c>
      <c r="L31" s="80">
        <f>_xlfn.FORECAST.LINEAR('Данные'!N$4,'Сезонность'!$D44:$AA44,Periods)*INDEX('Сезонность'!$D13:$O13,'Данные'!N$5)</f>
        <v>17302.5465262085</v>
      </c>
      <c r="M31" s="80">
        <f>_xlfn.FORECAST.LINEAR('Данные'!O$4,'Сезонность'!$D44:$AA44,Periods)*INDEX('Сезонность'!$D13:$O13,'Данные'!O$5)</f>
        <v>16335.3499548332</v>
      </c>
      <c r="N31" s="80">
        <f>_xlfn.FORECAST.LINEAR('Данные'!P$4,'Сезонность'!$D44:$AA44,Periods)*INDEX('Сезонность'!$D13:$O13,'Данные'!P$5)</f>
        <v>16925.8094270837</v>
      </c>
      <c r="O31" s="80">
        <f>_xlfn.FORECAST.LINEAR('Данные'!Q$4,'Сезонность'!$D44:$AA44,Periods)*INDEX('Сезонность'!$D13:$O13,'Данные'!Q$5)</f>
        <v>14287.8394822679</v>
      </c>
      <c r="P31" s="80">
        <f>_xlfn.FORECAST.LINEAR('Данные'!R$4,'Сезонность'!$D44:$AA44,Periods)*INDEX('Сезонность'!$D13:$O13,'Данные'!R$5)</f>
        <v>13128.5140690265</v>
      </c>
      <c r="Q31" s="80">
        <f>_xlfn.FORECAST.LINEAR('Данные'!S$4,'Сезонность'!$D44:$AA44,Periods)*INDEX('Сезонность'!$D13:$O13,'Данные'!S$5)</f>
        <v>12352.5808347565</v>
      </c>
      <c r="R31" s="80">
        <f>_xlfn.FORECAST.LINEAR('Данные'!T$4,'Сезонность'!$D44:$AA44,Periods)*INDEX('Сезонность'!$D13:$O13,'Данные'!T$5)</f>
        <v>13483.1625521662</v>
      </c>
      <c r="S31" s="80">
        <f>_xlfn.FORECAST.LINEAR('Данные'!U$4,'Сезонность'!$D44:$AA44,Periods)*INDEX('Сезонность'!$D13:$O13,'Данные'!U$5)</f>
        <v>12433.6672312718</v>
      </c>
      <c r="T31" s="80">
        <f>_xlfn.FORECAST.LINEAR('Данные'!V$4,'Сезонность'!$D44:$AA44,Periods)*INDEX('Сезонность'!$D13:$O13,'Данные'!V$5)</f>
        <v>12927.6795869089</v>
      </c>
      <c r="U31" s="80">
        <f>_xlfn.FORECAST.LINEAR('Данные'!W$4,'Сезонность'!$D44:$AA44,Periods)*INDEX('Сезонность'!$D13:$O13,'Данные'!W$5)</f>
        <v>15079.4947706614</v>
      </c>
      <c r="V31" s="80">
        <f>_xlfn.FORECAST.LINEAR('Данные'!X$4,'Сезонность'!$D44:$AA44,Periods)*INDEX('Сезонность'!$D13:$O13,'Данные'!X$5)</f>
        <v>15304.6130908981</v>
      </c>
      <c r="W31" s="80">
        <f>_xlfn.FORECAST.LINEAR('Данные'!Y$4,'Сезонность'!$D44:$AA44,Periods)*INDEX('Сезонность'!$D13:$O13,'Данные'!Y$5)</f>
        <v>16538.4719694014</v>
      </c>
      <c r="X31" s="80">
        <f>_xlfn.FORECAST.LINEAR('Данные'!Z$4,'Сезонность'!$D44:$AA44,Periods)*INDEX('Сезонность'!$D13:$O13,'Данные'!Z$5)</f>
        <v>19433.1074504307</v>
      </c>
      <c r="Y31" s="80">
        <f>_xlfn.FORECAST.LINEAR('Данные'!AA$4,'Сезонность'!$D44:$AA44,Periods)*INDEX('Сезонность'!$D13:$O13,'Данные'!AA$5)</f>
        <v>18326.383856077</v>
      </c>
      <c r="Z31" s="80">
        <f>_xlfn.FORECAST.LINEAR('Данные'!AB$4,'Сезонность'!$D44:$AA44,Periods)*INDEX('Сезонность'!$D13:$O13,'Данные'!AB$5)</f>
        <v>18968.0680838716</v>
      </c>
      <c r="AA31" s="80">
        <f>_xlfn.FORECAST.LINEAR('Данные'!AC$4,'Сезонность'!$D44:$AA44,Periods)*INDEX('Сезонность'!$D13:$O13,'Данные'!AC$5)</f>
        <v>15994.6403645227</v>
      </c>
    </row>
    <row r="32" ht="17" customHeight="1">
      <c r="A32" s="72" t="str">
        <f>'Данные'!A14</f>
        <v>LID-08</v>
      </c>
      <c r="B32" s="73" t="str">
        <f>'Данные'!B14</f>
        <v>Крышка для стакана Ø 90 мм</v>
      </c>
      <c r="C32" s="74" t="str">
        <f>'Данные'!D14</f>
        <v>шт.</v>
      </c>
      <c r="D32" s="86">
        <f>_xlfn.FORECAST.LINEAR('Данные'!F$4,'Сезонность'!$D45:$AA45,Periods)*INDEX('Сезонность'!$D14:$O14,'Данные'!F$5)</f>
        <v>11853.5383075346</v>
      </c>
      <c r="E32" s="86">
        <f>_xlfn.FORECAST.LINEAR('Данные'!G$4,'Сезонность'!$D45:$AA45,Periods)*INDEX('Сезонность'!$D14:$O14,'Данные'!G$5)</f>
        <v>11416.9575203187</v>
      </c>
      <c r="F32" s="86">
        <f>_xlfn.FORECAST.LINEAR('Данные'!H$4,'Сезонность'!$D45:$AA45,Periods)*INDEX('Сезонность'!$D14:$O14,'Данные'!H$5)</f>
        <v>11606.3648371542</v>
      </c>
      <c r="G32" s="86">
        <f>_xlfn.FORECAST.LINEAR('Данные'!I$4,'Сезонность'!$D45:$AA45,Periods)*INDEX('Сезонность'!$D14:$O14,'Данные'!I$5)</f>
        <v>10485.3982308829</v>
      </c>
      <c r="H32" s="86">
        <f>_xlfn.FORECAST.LINEAR('Данные'!J$4,'Сезонность'!$D45:$AA45,Periods)*INDEX('Сезонность'!$D14:$O14,'Данные'!J$5)</f>
        <v>11159.0326143139</v>
      </c>
      <c r="I32" s="86">
        <f>_xlfn.FORECAST.LINEAR('Данные'!K$4,'Сезонность'!$D45:$AA45,Periods)*INDEX('Сезонность'!$D14:$O14,'Данные'!K$5)</f>
        <v>13029.3693958224</v>
      </c>
      <c r="J32" s="86">
        <f>_xlfn.FORECAST.LINEAR('Данные'!L$4,'Сезонность'!$D45:$AA45,Periods)*INDEX('Сезонность'!$D14:$O14,'Данные'!L$5)</f>
        <v>13401.2275156688</v>
      </c>
      <c r="K32" s="86">
        <f>_xlfn.FORECAST.LINEAR('Данные'!M$4,'Сезонность'!$D45:$AA45,Periods)*INDEX('Сезонность'!$D14:$O14,'Данные'!M$5)</f>
        <v>14158.1103559577</v>
      </c>
      <c r="L32" s="86">
        <f>_xlfn.FORECAST.LINEAR('Данные'!N$4,'Сезонность'!$D45:$AA45,Periods)*INDEX('Сезонность'!$D14:$O14,'Данные'!N$5)</f>
        <v>15269.7959232106</v>
      </c>
      <c r="M32" s="86">
        <f>_xlfn.FORECAST.LINEAR('Данные'!O$4,'Сезонность'!$D45:$AA45,Periods)*INDEX('Сезонность'!$D14:$O14,'Данные'!O$5)</f>
        <v>16795.6312191691</v>
      </c>
      <c r="N32" s="86">
        <f>_xlfn.FORECAST.LINEAR('Данные'!P$4,'Сезонность'!$D45:$AA45,Periods)*INDEX('Сезонность'!$D14:$O14,'Данные'!P$5)</f>
        <v>16122.0973390375</v>
      </c>
      <c r="O32" s="86">
        <f>_xlfn.FORECAST.LINEAR('Данные'!Q$4,'Сезонность'!$D45:$AA45,Periods)*INDEX('Сезонность'!$D14:$O14,'Данные'!Q$5)</f>
        <v>14856.2494421306</v>
      </c>
      <c r="P32" s="86">
        <f>_xlfn.FORECAST.LINEAR('Данные'!R$4,'Сезонность'!$D45:$AA45,Periods)*INDEX('Сезонность'!$D14:$O14,'Данные'!R$5)</f>
        <v>12995.2372320981</v>
      </c>
      <c r="Q32" s="86">
        <f>_xlfn.FORECAST.LINEAR('Данные'!S$4,'Сезонность'!$D45:$AA45,Periods)*INDEX('Сезонность'!$D14:$O14,'Данные'!S$5)</f>
        <v>12507.8502589848</v>
      </c>
      <c r="R32" s="86">
        <f>_xlfn.FORECAST.LINEAR('Данные'!T$4,'Сезонность'!$D45:$AA45,Periods)*INDEX('Сезонность'!$D14:$O14,'Данные'!T$5)</f>
        <v>12706.5948841446</v>
      </c>
      <c r="S32" s="86">
        <f>_xlfn.FORECAST.LINEAR('Данные'!U$4,'Сезонность'!$D45:$AA45,Periods)*INDEX('Сезонность'!$D14:$O14,'Данные'!U$5)</f>
        <v>11471.5753735003</v>
      </c>
      <c r="T32" s="86">
        <f>_xlfn.FORECAST.LINEAR('Данные'!V$4,'Сезонность'!$D45:$AA45,Periods)*INDEX('Сезонность'!$D14:$O14,'Данные'!V$5)</f>
        <v>12200.4047404406</v>
      </c>
      <c r="U32" s="86">
        <f>_xlfn.FORECAST.LINEAR('Данные'!W$4,'Сезонность'!$D45:$AA45,Periods)*INDEX('Сезонность'!$D14:$O14,'Данные'!W$5)</f>
        <v>14235.9003381338</v>
      </c>
      <c r="V32" s="86">
        <f>_xlfn.FORECAST.LINEAR('Данные'!X$4,'Сезонность'!$D45:$AA45,Periods)*INDEX('Сезонность'!$D14:$O14,'Данные'!X$5)</f>
        <v>14632.6899688643</v>
      </c>
      <c r="W32" s="86">
        <f>_xlfn.FORECAST.LINEAR('Данные'!Y$4,'Сезонность'!$D45:$AA45,Periods)*INDEX('Сезонность'!$D14:$O14,'Данные'!Y$5)</f>
        <v>15449.2371163497</v>
      </c>
      <c r="X32" s="86">
        <f>_xlfn.FORECAST.LINEAR('Данные'!Z$4,'Сезонность'!$D45:$AA45,Periods)*INDEX('Сезонность'!$D14:$O14,'Данные'!Z$5)</f>
        <v>16651.7986475774</v>
      </c>
      <c r="Y32" s="86">
        <f>_xlfn.FORECAST.LINEAR('Данные'!AA$4,'Сезонность'!$D45:$AA45,Periods)*INDEX('Сезонность'!$D14:$O14,'Данные'!AA$5)</f>
        <v>18304.3516742385</v>
      </c>
      <c r="Z32" s="86">
        <f>_xlfn.FORECAST.LINEAR('Данные'!AB$4,'Сезонность'!$D45:$AA45,Periods)*INDEX('Сезонность'!$D14:$O14,'Данные'!AB$5)</f>
        <v>17559.5551449429</v>
      </c>
      <c r="AA32" s="86">
        <f>_xlfn.FORECAST.LINEAR('Данные'!AC$4,'Сезонность'!$D45:$AA45,Periods)*INDEX('Сезонность'!$D14:$O14,'Данные'!AC$5)</f>
        <v>16171.0741120148</v>
      </c>
    </row>
    <row r="33" ht="17" customHeight="1">
      <c r="A33" s="60" t="str">
        <f>'Данные'!A15</f>
        <v>CRS-09</v>
      </c>
      <c r="B33" s="61" t="str">
        <f>'Данные'!B15</f>
        <v>Круассан сливочный, заморозка</v>
      </c>
      <c r="C33" s="62" t="str">
        <f>'Данные'!D15</f>
        <v>шт.</v>
      </c>
      <c r="D33" s="80">
        <f>_xlfn.FORECAST.LINEAR('Данные'!F$4,'Сезонность'!$D46:$AA46,Periods)*INDEX('Сезонность'!$D15:$O15,'Данные'!F$5)</f>
        <v>5197.17162602892</v>
      </c>
      <c r="E33" s="80">
        <f>_xlfn.FORECAST.LINEAR('Данные'!G$4,'Сезонность'!$D46:$AA46,Periods)*INDEX('Сезонность'!$D15:$O15,'Данные'!G$5)</f>
        <v>5338.68876753412</v>
      </c>
      <c r="F33" s="80">
        <f>_xlfn.FORECAST.LINEAR('Данные'!H$4,'Сезонность'!$D46:$AA46,Periods)*INDEX('Сезонность'!$D15:$O15,'Данные'!H$5)</f>
        <v>5354.68963168902</v>
      </c>
      <c r="G33" s="80">
        <f>_xlfn.FORECAST.LINEAR('Данные'!I$4,'Сезонность'!$D46:$AA46,Periods)*INDEX('Сезонность'!$D15:$O15,'Данные'!I$5)</f>
        <v>4474.45130704224</v>
      </c>
      <c r="H33" s="80">
        <f>_xlfn.FORECAST.LINEAR('Данные'!J$4,'Сезонность'!$D46:$AA46,Periods)*INDEX('Сезонность'!$D15:$O15,'Данные'!J$5)</f>
        <v>4668.82147745107</v>
      </c>
      <c r="I33" s="80">
        <f>_xlfn.FORECAST.LINEAR('Данные'!K$4,'Сезонность'!$D46:$AA46,Periods)*INDEX('Сезонность'!$D15:$O15,'Данные'!K$5)</f>
        <v>5035.06006394484</v>
      </c>
      <c r="J33" s="80">
        <f>_xlfn.FORECAST.LINEAR('Данные'!L$4,'Сезонность'!$D46:$AA46,Periods)*INDEX('Сезонность'!$D15:$O15,'Данные'!L$5)</f>
        <v>4898.92175493798</v>
      </c>
      <c r="K33" s="80">
        <f>_xlfn.FORECAST.LINEAR('Данные'!M$4,'Сезонность'!$D46:$AA46,Periods)*INDEX('Сезонность'!$D15:$O15,'Данные'!M$5)</f>
        <v>4881.96634245335</v>
      </c>
      <c r="L33" s="80">
        <f>_xlfn.FORECAST.LINEAR('Данные'!N$4,'Сезонность'!$D46:$AA46,Periods)*INDEX('Сезонность'!$D15:$O15,'Данные'!N$5)</f>
        <v>4713.60587403376</v>
      </c>
      <c r="M33" s="80">
        <f>_xlfn.FORECAST.LINEAR('Данные'!O$4,'Сезонность'!$D46:$AA46,Periods)*INDEX('Сезонность'!$D15:$O15,'Данные'!O$5)</f>
        <v>4394.13681209722</v>
      </c>
      <c r="N33" s="80">
        <f>_xlfn.FORECAST.LINEAR('Данные'!P$4,'Сезонность'!$D46:$AA46,Periods)*INDEX('Сезонность'!$D15:$O15,'Данные'!P$5)</f>
        <v>4643.00992816876</v>
      </c>
      <c r="O33" s="80">
        <f>_xlfn.FORECAST.LINEAR('Данные'!Q$4,'Сезонность'!$D46:$AA46,Periods)*INDEX('Сезонность'!$D15:$O15,'Данные'!Q$5)</f>
        <v>5230.08381448579</v>
      </c>
      <c r="P33" s="80">
        <f>_xlfn.FORECAST.LINEAR('Данные'!R$4,'Сезонность'!$D46:$AA46,Periods)*INDEX('Сезонность'!$D15:$O15,'Данные'!R$5)</f>
        <v>5511.57433387363</v>
      </c>
      <c r="Q33" s="80">
        <f>_xlfn.FORECAST.LINEAR('Данные'!S$4,'Сезонность'!$D46:$AA46,Periods)*INDEX('Сезонность'!$D15:$O15,'Данные'!S$5)</f>
        <v>5660.03257619139</v>
      </c>
      <c r="R33" s="80">
        <f>_xlfn.FORECAST.LINEAR('Данные'!T$4,'Сезонность'!$D46:$AA46,Periods)*INDEX('Сезонность'!$D15:$O15,'Данные'!T$5)</f>
        <v>5675.38794672677</v>
      </c>
      <c r="S33" s="80">
        <f>_xlfn.FORECAST.LINEAR('Данные'!U$4,'Сезонность'!$D46:$AA46,Periods)*INDEX('Сезонность'!$D15:$O15,'Данные'!U$5)</f>
        <v>4741.10034461653</v>
      </c>
      <c r="T33" s="80">
        <f>_xlfn.FORECAST.LINEAR('Данные'!V$4,'Сезонность'!$D46:$AA46,Periods)*INDEX('Сезонность'!$D15:$O15,'Данные'!V$5)</f>
        <v>4945.67883705147</v>
      </c>
      <c r="U33" s="80">
        <f>_xlfn.FORECAST.LINEAR('Данные'!W$4,'Сезонность'!$D46:$AA46,Periods)*INDEX('Сезонность'!$D15:$O15,'Данные'!W$5)</f>
        <v>5332.16689423449</v>
      </c>
      <c r="V33" s="80">
        <f>_xlfn.FORECAST.LINEAR('Данные'!X$4,'Сезонность'!$D46:$AA46,Periods)*INDEX('Сезонность'!$D15:$O15,'Данные'!X$5)</f>
        <v>5186.58088347443</v>
      </c>
      <c r="W33" s="80">
        <f>_xlfn.FORECAST.LINEAR('Данные'!Y$4,'Сезонность'!$D46:$AA46,Periods)*INDEX('Сезонность'!$D15:$O15,'Данные'!Y$5)</f>
        <v>5167.23398569908</v>
      </c>
      <c r="X33" s="80">
        <f>_xlfn.FORECAST.LINEAR('Данные'!Z$4,'Сезонность'!$D46:$AA46,Periods)*INDEX('Сезонность'!$D15:$O15,'Данные'!Z$5)</f>
        <v>4987.70103806284</v>
      </c>
      <c r="Y33" s="80">
        <f>_xlfn.FORECAST.LINEAR('Данные'!AA$4,'Сезонность'!$D46:$AA46,Periods)*INDEX('Сезонность'!$D15:$O15,'Данные'!AA$5)</f>
        <v>4648.42269669851</v>
      </c>
      <c r="Z33" s="80">
        <f>_xlfn.FORECAST.LINEAR('Данные'!AB$4,'Сезонность'!$D46:$AA46,Periods)*INDEX('Сезонность'!$D15:$O15,'Данные'!AB$5)</f>
        <v>4910.40842570112</v>
      </c>
      <c r="AA33" s="80">
        <f>_xlfn.FORECAST.LINEAR('Данные'!AC$4,'Сезонность'!$D46:$AA46,Periods)*INDEX('Сезонность'!$D15:$O15,'Данные'!AC$5)</f>
        <v>5529.85416398028</v>
      </c>
    </row>
    <row r="34" ht="17" customHeight="1">
      <c r="A34" s="72" t="str">
        <f>'Данные'!A16</f>
        <v>TEA-10</v>
      </c>
      <c r="B34" s="73" t="str">
        <f>'Данные'!B16</f>
        <v>Чай зелёный «Сенча», 500 г</v>
      </c>
      <c r="C34" s="74" t="str">
        <f>'Данные'!D16</f>
        <v>уп.</v>
      </c>
      <c r="D34" s="86">
        <f>_xlfn.FORECAST.LINEAR('Данные'!F$4,'Сезонность'!$D47:$AA47,Periods)*INDEX('Сезонность'!$D16:$O16,'Данные'!F$5)</f>
        <v>23.06537588359</v>
      </c>
      <c r="E34" s="86">
        <f>_xlfn.FORECAST.LINEAR('Данные'!G$4,'Сезонность'!$D47:$AA47,Periods)*INDEX('Сезонность'!$D16:$O16,'Данные'!G$5)</f>
        <v>27.6003122919267</v>
      </c>
      <c r="F34" s="86">
        <f>_xlfn.FORECAST.LINEAR('Данные'!H$4,'Сезонность'!$D47:$AA47,Periods)*INDEX('Сезонность'!$D16:$O16,'Данные'!H$5)</f>
        <v>28.4477483304979</v>
      </c>
      <c r="G34" s="86">
        <f>_xlfn.FORECAST.LINEAR('Данные'!I$4,'Сезонность'!$D47:$AA47,Periods)*INDEX('Сезонность'!$D16:$O16,'Данные'!I$5)</f>
        <v>30.9781406561995</v>
      </c>
      <c r="H34" s="86">
        <f>_xlfn.FORECAST.LINEAR('Данные'!J$4,'Сезонность'!$D47:$AA47,Periods)*INDEX('Сезонность'!$D16:$O16,'Данные'!J$5)</f>
        <v>29.1452823798339</v>
      </c>
      <c r="I34" s="86">
        <f>_xlfn.FORECAST.LINEAR('Данные'!K$4,'Сезонность'!$D47:$AA47,Periods)*INDEX('Сезонность'!$D16:$O16,'Данные'!K$5)</f>
        <v>26.0467434440781</v>
      </c>
      <c r="J34" s="86">
        <f>_xlfn.FORECAST.LINEAR('Данные'!L$4,'Сезонность'!$D47:$AA47,Periods)*INDEX('Сезонность'!$D16:$O16,'Данные'!L$5)</f>
        <v>23.2852014564664</v>
      </c>
      <c r="K34" s="86">
        <f>_xlfn.FORECAST.LINEAR('Данные'!M$4,'Сезонность'!$D47:$AA47,Periods)*INDEX('Сезонность'!$D16:$O16,'Данные'!M$5)</f>
        <v>16.6378963226801</v>
      </c>
      <c r="L34" s="86">
        <f>_xlfn.FORECAST.LINEAR('Данные'!N$4,'Сезонность'!$D47:$AA47,Periods)*INDEX('Сезонность'!$D16:$O16,'Данные'!N$5)</f>
        <v>16.1409400599266</v>
      </c>
      <c r="M34" s="86">
        <f>_xlfn.FORECAST.LINEAR('Данные'!O$4,'Сезонность'!$D47:$AA47,Periods)*INDEX('Сезонность'!$D16:$O16,'Данные'!O$5)</f>
        <v>14.7199602128227</v>
      </c>
      <c r="N34" s="86">
        <f>_xlfn.FORECAST.LINEAR('Данные'!P$4,'Сезонность'!$D47:$AA47,Periods)*INDEX('Сезонность'!$D16:$O16,'Данные'!P$5)</f>
        <v>15.6495197575712</v>
      </c>
      <c r="O34" s="86">
        <f>_xlfn.FORECAST.LINEAR('Данные'!Q$4,'Сезонность'!$D47:$AA47,Periods)*INDEX('Сезонность'!$D16:$O16,'Данные'!Q$5)</f>
        <v>22.4070639859618</v>
      </c>
      <c r="P34" s="86">
        <f>_xlfn.FORECAST.LINEAR('Данные'!R$4,'Сезонность'!$D47:$AA47,Periods)*INDEX('Сезонность'!$D16:$O16,'Данные'!R$5)</f>
        <v>27.5804442926622</v>
      </c>
      <c r="Q34" s="86">
        <f>_xlfn.FORECAST.LINEAR('Данные'!S$4,'Сезонность'!$D47:$AA47,Periods)*INDEX('Сезонность'!$D16:$O16,'Данные'!S$5)</f>
        <v>32.916379889927</v>
      </c>
      <c r="R34" s="86">
        <f>_xlfn.FORECAST.LINEAR('Данные'!T$4,'Сезонность'!$D47:$AA47,Periods)*INDEX('Сезонность'!$D16:$O16,'Данные'!T$5)</f>
        <v>33.84048229799</v>
      </c>
      <c r="S34" s="86">
        <f>_xlfn.FORECAST.LINEAR('Данные'!U$4,'Сезонность'!$D47:$AA47,Periods)*INDEX('Сезонность'!$D16:$O16,'Данные'!U$5)</f>
        <v>36.7592267781735</v>
      </c>
      <c r="T34" s="86">
        <f>_xlfn.FORECAST.LINEAR('Данные'!V$4,'Сезонность'!$D47:$AA47,Periods)*INDEX('Сезонность'!$D16:$O16,'Данные'!V$5)</f>
        <v>34.501033640735</v>
      </c>
      <c r="U34" s="86">
        <f>_xlfn.FORECAST.LINEAR('Данные'!W$4,'Сезонность'!$D47:$AA47,Periods)*INDEX('Сезонность'!$D16:$O16,'Данные'!W$5)</f>
        <v>30.7609157999153</v>
      </c>
      <c r="V34" s="86">
        <f>_xlfn.FORECAST.LINEAR('Данные'!X$4,'Сезонность'!$D47:$AA47,Periods)*INDEX('Сезонность'!$D16:$O16,'Данные'!X$5)</f>
        <v>27.4369469363143</v>
      </c>
      <c r="W34" s="86">
        <f>_xlfn.FORECAST.LINEAR('Данные'!Y$4,'Сезонность'!$D47:$AA47,Periods)*INDEX('Сезонность'!$D16:$O16,'Данные'!Y$5)</f>
        <v>19.560996655861</v>
      </c>
      <c r="X34" s="86">
        <f>_xlfn.FORECAST.LINEAR('Данные'!Z$4,'Сезонность'!$D47:$AA47,Periods)*INDEX('Сезонность'!$D16:$O16,'Данные'!Z$5)</f>
        <v>18.9358114136366</v>
      </c>
      <c r="Y34" s="86">
        <f>_xlfn.FORECAST.LINEAR('Данные'!AA$4,'Сезонность'!$D47:$AA47,Periods)*INDEX('Сезонность'!$D16:$O16,'Данные'!AA$5)</f>
        <v>17.2325278228588</v>
      </c>
      <c r="Z34" s="86">
        <f>_xlfn.FORECAST.LINEAR('Данные'!AB$4,'Сезонность'!$D47:$AA47,Periods)*INDEX('Сезонность'!$D16:$O16,'Данные'!AB$5)</f>
        <v>18.2832915267659</v>
      </c>
      <c r="AA34" s="86">
        <f>_xlfn.FORECAST.LINEAR('Данные'!AC$4,'Сезонность'!$D47:$AA47,Periods)*INDEX('Сезонность'!$D16:$O16,'Данные'!AC$5)</f>
        <v>26.1259555236118</v>
      </c>
    </row>
    <row r="35" ht="17" customHeight="1">
      <c r="A35" s="60" t="str">
        <f>'Данные'!A17</f>
        <v>ICE-11</v>
      </c>
      <c r="B35" s="61" t="str">
        <f>'Данные'!B17</f>
        <v>Лёд пищевой, кубики</v>
      </c>
      <c r="C35" s="62" t="str">
        <f>'Данные'!D17</f>
        <v>кг</v>
      </c>
      <c r="D35" s="80">
        <f>_xlfn.FORECAST.LINEAR('Данные'!F$4,'Сезонность'!$D48:$AA48,Periods)*INDEX('Сезонность'!$D17:$O17,'Данные'!F$5)</f>
        <v>285.860042795039</v>
      </c>
      <c r="E35" s="80">
        <f>_xlfn.FORECAST.LINEAR('Данные'!G$4,'Сезонность'!$D48:$AA48,Periods)*INDEX('Сезонность'!$D17:$O17,'Данные'!G$5)</f>
        <v>188.653022639749</v>
      </c>
      <c r="F35" s="80">
        <f>_xlfn.FORECAST.LINEAR('Данные'!H$4,'Сезонность'!$D48:$AA48,Periods)*INDEX('Сезонность'!$D17:$O17,'Данные'!H$5)</f>
        <v>171.262583198545</v>
      </c>
      <c r="G35" s="80">
        <f>_xlfn.FORECAST.LINEAR('Данные'!I$4,'Сезонность'!$D48:$AA48,Periods)*INDEX('Сезонность'!$D17:$O17,'Данные'!I$5)</f>
        <v>136.386568003419</v>
      </c>
      <c r="H35" s="80">
        <f>_xlfn.FORECAST.LINEAR('Данные'!J$4,'Сезонность'!$D48:$AA48,Periods)*INDEX('Сезонность'!$D17:$O17,'Данные'!J$5)</f>
        <v>166.629970264924</v>
      </c>
      <c r="I35" s="80">
        <f>_xlfn.FORECAST.LINEAR('Данные'!K$4,'Сезонность'!$D48:$AA48,Periods)*INDEX('Сезонность'!$D17:$O17,'Данные'!K$5)</f>
        <v>269.626210233438</v>
      </c>
      <c r="J35" s="80">
        <f>_xlfn.FORECAST.LINEAR('Данные'!L$4,'Сезонность'!$D48:$AA48,Periods)*INDEX('Сезонность'!$D17:$O17,'Данные'!L$5)</f>
        <v>375.672393336983</v>
      </c>
      <c r="K35" s="80">
        <f>_xlfn.FORECAST.LINEAR('Данные'!M$4,'Сезонность'!$D48:$AA48,Periods)*INDEX('Сезонность'!$D17:$O17,'Данные'!M$5)</f>
        <v>535.729487127365</v>
      </c>
      <c r="L35" s="80">
        <f>_xlfn.FORECAST.LINEAR('Данные'!N$4,'Сезонность'!$D48:$AA48,Periods)*INDEX('Сезонность'!$D17:$O17,'Данные'!N$5)</f>
        <v>897.665191018428</v>
      </c>
      <c r="M35" s="80">
        <f>_xlfn.FORECAST.LINEAR('Данные'!O$4,'Сезонность'!$D48:$AA48,Periods)*INDEX('Сезонность'!$D17:$O17,'Данные'!O$5)</f>
        <v>977.88474490446</v>
      </c>
      <c r="N35" s="80">
        <f>_xlfn.FORECAST.LINEAR('Данные'!P$4,'Сезонность'!$D48:$AA48,Periods)*INDEX('Сезонность'!$D17:$O17,'Данные'!P$5)</f>
        <v>881.586916572494</v>
      </c>
      <c r="O35" s="80">
        <f>_xlfn.FORECAST.LINEAR('Данные'!Q$4,'Сезонность'!$D48:$AA48,Periods)*INDEX('Сезонность'!$D17:$O17,'Данные'!Q$5)</f>
        <v>514.385796640955</v>
      </c>
      <c r="P35" s="80">
        <f>_xlfn.FORECAST.LINEAR('Данные'!R$4,'Сезонность'!$D48:$AA48,Periods)*INDEX('Сезонность'!$D17:$O17,'Данные'!R$5)</f>
        <v>301.585674887529</v>
      </c>
      <c r="Q35" s="80">
        <f>_xlfn.FORECAST.LINEAR('Данные'!S$4,'Сезонность'!$D48:$AA48,Periods)*INDEX('Сезонность'!$D17:$O17,'Данные'!S$5)</f>
        <v>198.983777023622</v>
      </c>
      <c r="R35" s="80">
        <f>_xlfn.FORECAST.LINEAR('Данные'!T$4,'Сезонность'!$D48:$AA48,Periods)*INDEX('Сезонность'!$D17:$O17,'Данные'!T$5)</f>
        <v>180.598423505243</v>
      </c>
      <c r="S35" s="80">
        <f>_xlfn.FORECAST.LINEAR('Данные'!U$4,'Сезонность'!$D48:$AA48,Periods)*INDEX('Сезонность'!$D17:$O17,'Данные'!U$5)</f>
        <v>143.787631715698</v>
      </c>
      <c r="T35" s="80">
        <f>_xlfn.FORECAST.LINEAR('Данные'!V$4,'Сезонность'!$D48:$AA48,Periods)*INDEX('Сезонность'!$D17:$O17,'Данные'!V$5)</f>
        <v>175.631496625642</v>
      </c>
      <c r="U35" s="80">
        <f>_xlfn.FORECAST.LINEAR('Данные'!W$4,'Сезонность'!$D48:$AA48,Periods)*INDEX('Сезонность'!$D17:$O17,'Данные'!W$5)</f>
        <v>284.126425466691</v>
      </c>
      <c r="V35" s="80">
        <f>_xlfn.FORECAST.LINEAR('Данные'!X$4,'Сезонность'!$D48:$AA48,Periods)*INDEX('Сезонность'!$D17:$O17,'Данные'!X$5)</f>
        <v>395.785522659733</v>
      </c>
      <c r="W35" s="80">
        <f>_xlfn.FORECAST.LINEAR('Данные'!Y$4,'Сезонность'!$D48:$AA48,Periods)*INDEX('Сезонность'!$D17:$O17,'Данные'!Y$5)</f>
        <v>564.284514681597</v>
      </c>
      <c r="X35" s="80">
        <f>_xlfn.FORECAST.LINEAR('Данные'!Z$4,'Сезонность'!$D48:$AA48,Periods)*INDEX('Сезонность'!$D17:$O17,'Данные'!Z$5)</f>
        <v>945.300244136343</v>
      </c>
      <c r="Y35" s="80">
        <f>_xlfn.FORECAST.LINEAR('Данные'!AA$4,'Сезонность'!$D48:$AA48,Periods)*INDEX('Сезонность'!$D17:$O17,'Данные'!AA$5)</f>
        <v>1029.54822646386</v>
      </c>
      <c r="Z35" s="80">
        <f>_xlfn.FORECAST.LINEAR('Данные'!AB$4,'Сезонность'!$D48:$AA48,Periods)*INDEX('Сезонность'!$D17:$O17,'Данные'!AB$5)</f>
        <v>927.958644835604</v>
      </c>
      <c r="AA35" s="80">
        <f>_xlfn.FORECAST.LINEAR('Данные'!AC$4,'Сезонность'!$D48:$AA48,Periods)*INDEX('Сезонность'!$D17:$O17,'Данные'!AC$5)</f>
        <v>541.324556958698</v>
      </c>
    </row>
    <row r="36" ht="17" customHeight="1">
      <c r="A36" s="72" t="str">
        <f>'Данные'!A18</f>
        <v>CHO-12</v>
      </c>
      <c r="B36" s="73" t="str">
        <f>'Данные'!B18</f>
        <v>Шоколад для горячего шоколада</v>
      </c>
      <c r="C36" s="74" t="str">
        <f>'Данные'!D18</f>
        <v>кг</v>
      </c>
      <c r="D36" s="86">
        <f>_xlfn.FORECAST.LINEAR('Данные'!F$4,'Сезонность'!$D49:$AA49,Periods)*INDEX('Сезонность'!$D18:$O18,'Данные'!F$5)</f>
        <v>28.1700889932815</v>
      </c>
      <c r="E36" s="86">
        <f>_xlfn.FORECAST.LINEAR('Данные'!G$4,'Сезонность'!$D49:$AA49,Periods)*INDEX('Сезонность'!$D18:$O18,'Данные'!G$5)</f>
        <v>33.3816445048821</v>
      </c>
      <c r="F36" s="86">
        <f>_xlfn.FORECAST.LINEAR('Данные'!H$4,'Сезонность'!$D49:$AA49,Periods)*INDEX('Сезонность'!$D18:$O18,'Данные'!H$5)</f>
        <v>33.3935155770517</v>
      </c>
      <c r="G36" s="86">
        <f>_xlfn.FORECAST.LINEAR('Данные'!I$4,'Сезонность'!$D49:$AA49,Periods)*INDEX('Сезонность'!$D18:$O18,'Данные'!I$5)</f>
        <v>36.6562829859705</v>
      </c>
      <c r="H36" s="86">
        <f>_xlfn.FORECAST.LINEAR('Данные'!J$4,'Сезонность'!$D49:$AA49,Periods)*INDEX('Сезонность'!$D18:$O18,'Данные'!J$5)</f>
        <v>36.2017130931248</v>
      </c>
      <c r="I36" s="86">
        <f>_xlfn.FORECAST.LINEAR('Данные'!K$4,'Сезонность'!$D49:$AA49,Periods)*INDEX('Сезонность'!$D18:$O18,'Данные'!K$5)</f>
        <v>27.5458403315409</v>
      </c>
      <c r="J36" s="86">
        <f>_xlfn.FORECAST.LINEAR('Данные'!L$4,'Сезонность'!$D49:$AA49,Periods)*INDEX('Сезонность'!$D18:$O18,'Данные'!L$5)</f>
        <v>21.2610409243818</v>
      </c>
      <c r="K36" s="86">
        <f>_xlfn.FORECAST.LINEAR('Данные'!M$4,'Сезонность'!$D49:$AA49,Periods)*INDEX('Сезонность'!$D18:$O18,'Данные'!M$5)</f>
        <v>15.0252692858304</v>
      </c>
      <c r="L36" s="86">
        <f>_xlfn.FORECAST.LINEAR('Данные'!N$4,'Сезонность'!$D49:$AA49,Periods)*INDEX('Сезонность'!$D18:$O18,'Данные'!N$5)</f>
        <v>12.0028435681603</v>
      </c>
      <c r="M36" s="86">
        <f>_xlfn.FORECAST.LINEAR('Данные'!O$4,'Сезонность'!$D49:$AA49,Periods)*INDEX('Сезонность'!$D18:$O18,'Данные'!O$5)</f>
        <v>10.6048285085695</v>
      </c>
      <c r="N36" s="86">
        <f>_xlfn.FORECAST.LINEAR('Данные'!P$4,'Сезонность'!$D49:$AA49,Periods)*INDEX('Сезонность'!$D18:$O18,'Данные'!P$5)</f>
        <v>12.0225185620261</v>
      </c>
      <c r="O36" s="86">
        <f>_xlfn.FORECAST.LINEAR('Данные'!Q$4,'Сезонность'!$D49:$AA49,Periods)*INDEX('Сезонность'!$D18:$O18,'Данные'!Q$5)</f>
        <v>19.7138677216733</v>
      </c>
      <c r="P36" s="86">
        <f>_xlfn.FORECAST.LINEAR('Данные'!R$4,'Сезонность'!$D49:$AA49,Periods)*INDEX('Сезонность'!$D18:$O18,'Данные'!R$5)</f>
        <v>30.2500370903261</v>
      </c>
      <c r="Q36" s="86">
        <f>_xlfn.FORECAST.LINEAR('Данные'!S$4,'Сезонность'!$D49:$AA49,Periods)*INDEX('Сезонность'!$D18:$O18,'Данные'!S$5)</f>
        <v>35.8313168754055</v>
      </c>
      <c r="R36" s="86">
        <f>_xlfn.FORECAST.LINEAR('Данные'!T$4,'Сезонность'!$D49:$AA49,Periods)*INDEX('Сезонность'!$D18:$O18,'Данные'!T$5)</f>
        <v>35.8291643260162</v>
      </c>
      <c r="S36" s="86">
        <f>_xlfn.FORECAST.LINEAR('Данные'!U$4,'Сезонность'!$D49:$AA49,Periods)*INDEX('Сезонность'!$D18:$O18,'Данные'!U$5)</f>
        <v>39.3137582047457</v>
      </c>
      <c r="T36" s="86">
        <f>_xlfn.FORECAST.LINEAR('Данные'!V$4,'Сезонность'!$D49:$AA49,Periods)*INDEX('Сезонность'!$D18:$O18,'Данные'!V$5)</f>
        <v>38.8104726691671</v>
      </c>
      <c r="U36" s="86">
        <f>_xlfn.FORECAST.LINEAR('Данные'!W$4,'Сезонность'!$D49:$AA49,Periods)*INDEX('Сезонность'!$D18:$O18,'Данные'!W$5)</f>
        <v>29.5189933077866</v>
      </c>
      <c r="V36" s="86">
        <f>_xlfn.FORECAST.LINEAR('Данные'!X$4,'Сезонность'!$D49:$AA49,Periods)*INDEX('Сезонность'!$D18:$O18,'Данные'!X$5)</f>
        <v>22.7749665036784</v>
      </c>
      <c r="W36" s="86">
        <f>_xlfn.FORECAST.LINEAR('Данные'!Y$4,'Сезонность'!$D49:$AA49,Periods)*INDEX('Сезонность'!$D18:$O18,'Данные'!Y$5)</f>
        <v>16.0888558249741</v>
      </c>
      <c r="X36" s="86">
        <f>_xlfn.FORECAST.LINEAR('Данные'!Z$4,'Сезонность'!$D49:$AA49,Periods)*INDEX('Сезонность'!$D18:$O18,'Данные'!Z$5)</f>
        <v>12.847500578312</v>
      </c>
      <c r="Y36" s="86">
        <f>_xlfn.FORECAST.LINEAR('Данные'!AA$4,'Сезонность'!$D49:$AA49,Periods)*INDEX('Сезонность'!$D18:$O18,'Данные'!AA$5)</f>
        <v>11.3467543656356</v>
      </c>
      <c r="Z36" s="86">
        <f>_xlfn.FORECAST.LINEAR('Данные'!AB$4,'Сезонность'!$D49:$AA49,Periods)*INDEX('Сезонность'!$D18:$O18,'Данные'!AB$5)</f>
        <v>12.8587523048001</v>
      </c>
      <c r="AA36" s="86">
        <f>_xlfn.FORECAST.LINEAR('Данные'!AC$4,'Сезонность'!$D49:$AA49,Periods)*INDEX('Сезонность'!$D18:$O18,'Данные'!AC$5)</f>
        <v>21.0771758849525</v>
      </c>
    </row>
  </sheetData>
  <mergeCells count="1">
    <mergeCell ref="A19:C19"/>
  </mergeCells>
  <conditionalFormatting sqref="R7:R19">
    <cfRule type="cellIs" priority="1" operator="lessThan" dxfId="2">
      <formula>0</formula>
    </cfRule>
    <cfRule type="cellIs" priority="2" operator="greaterThan" dxfId="1">
      <formula>0</formula>
    </cfRule>
  </conditionalFormatting>
  <printOptions horizontalCentered="1" headings="0"/>
  <pageMargins left="0.25" right="0.25" top="0.25" bottom="0.25" header="0" footer="0"/>
  <pageSetup orientation="landscape" paperSize="9" fitToHeight="1" fitToWidth="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minAxisType="custom" manualMin="0">
          <x14:colorSeries rgb="FFF2A07B"/>
          <x14:colorNegative rgb="FFB42318"/>
          <x14:colorAxis rgb="FF000000"/>
          <x14:colorMarkers rgb="FFF2A07B"/>
          <x14:colorFirst rgb="FFF2A07B"/>
          <x14:colorLast rgb="FFF2A07B"/>
          <x14:colorHigh rgb="FFF2A07B"/>
          <x14:colorLow rgb="FFF2A07B"/>
          <x14:sparklines>
            <x14:sparkline>
              <xm:f>'Прогноз'!D7:O7</xm:f>
              <xm:sqref>V7</xm:sqref>
            </x14:sparkline>
            <x14:sparkline>
              <xm:f>'Прогноз'!D8:O8</xm:f>
              <xm:sqref>V8</xm:sqref>
            </x14:sparkline>
            <x14:sparkline>
              <xm:f>'Прогноз'!D9:O9</xm:f>
              <xm:sqref>V9</xm:sqref>
            </x14:sparkline>
            <x14:sparkline>
              <xm:f>'Прогноз'!D10:O10</xm:f>
              <xm:sqref>V10</xm:sqref>
            </x14:sparkline>
            <x14:sparkline>
              <xm:f>'Прогноз'!D11:O11</xm:f>
              <xm:sqref>V11</xm:sqref>
            </x14:sparkline>
            <x14:sparkline>
              <xm:f>'Прогноз'!D12:O12</xm:f>
              <xm:sqref>V12</xm:sqref>
            </x14:sparkline>
            <x14:sparkline>
              <xm:f>'Прогноз'!D13:O13</xm:f>
              <xm:sqref>V13</xm:sqref>
            </x14:sparkline>
            <x14:sparkline>
              <xm:f>'Прогноз'!D14:O14</xm:f>
              <xm:sqref>V14</xm:sqref>
            </x14:sparkline>
            <x14:sparkline>
              <xm:f>'Прогноз'!D15:O15</xm:f>
              <xm:sqref>V15</xm:sqref>
            </x14:sparkline>
            <x14:sparkline>
              <xm:f>'Прогноз'!D16:O16</xm:f>
              <xm:sqref>V16</xm:sqref>
            </x14:sparkline>
            <x14:sparkline>
              <xm:f>'Прогноз'!D17:O17</xm:f>
              <xm:sqref>V17</xm:sqref>
            </x14:sparkline>
            <x14:sparkline>
              <xm:f>'Прогноз'!D18:O18</xm:f>
              <xm:sqref>V18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>
  <sheetPr>
    <tabColor rgb="002A78D6"/>
    <outlinePr summaryBelow="1" summaryRight="1"/>
    <pageSetUpPr fitToPage="1"/>
  </sheetPr>
  <dimension ref="A1:AH39"/>
  <sheetViews>
    <sheetView showGridLines="0" zoomScale="10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9" customWidth="1" min="2" max="2"/>
    <col width="34" customWidth="1" min="3" max="3"/>
    <col width="11" customWidth="1" min="4" max="4"/>
    <col width="8.5" customWidth="1" min="5" max="5"/>
    <col width="9.5" customWidth="1" min="6" max="6"/>
    <col width="6.5" customWidth="1" min="7" max="7"/>
    <col width="15" customWidth="1" min="8" max="8"/>
    <col width="10" customWidth="1" min="9" max="9"/>
    <col width="9.5" customWidth="1" min="10" max="10"/>
    <col width="9.5" customWidth="1" min="11" max="11"/>
    <col width="6.5" customWidth="1" min="12" max="12"/>
    <col width="7.5" customWidth="1" min="13" max="13"/>
    <col width="49" customWidth="1" min="14" max="14"/>
    <col width="3" customWidth="1" min="15" max="15"/>
    <col width="3" customWidth="1" min="16" max="16"/>
    <col width="9" customWidth="1" min="17" max="17"/>
    <col width="13" customWidth="1" min="18" max="18"/>
    <col width="7" customWidth="1" min="19" max="19"/>
    <col width="9" customWidth="1" min="20" max="20"/>
    <col width="9" customWidth="1" min="21" max="21"/>
    <col width="3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</cols>
  <sheetData>
    <row r="1" ht="26" customHeight="1">
      <c r="A1" s="36" t="inlineStr">
        <is>
          <t>ABC-XYZ-анализ ассортимента закупок</t>
        </is>
      </c>
    </row>
    <row r="2" ht="17" customHeight="1">
      <c r="A2" s="37" t="inlineStr">
        <is>
          <t>ABC — по стоимости закупок за последние 12 мес. (окт 2025 — сен 2026); XYZ — по коэффициенту вариации месячного спроса за тот же период</t>
        </is>
      </c>
    </row>
    <row r="3" ht="15" customHeight="1">
      <c r="A3" s="38" t="inlineStr">
        <is>
          <r>
            <rPr>
              <rFont val="Calibri"/>
              <color rgb="00898781"/>
              <sz val="9"/>
            </rPr>
            <t xml:space="preserve">Обозначения:  </t>
          </r>
          <r>
            <rPr>
              <rFont val="Calibri"/>
              <b val="1"/>
              <color rgb="000000FF"/>
              <sz val="9"/>
            </rPr>
            <t>синий</t>
          </r>
          <r>
            <rPr>
              <rFont val="Calibri"/>
              <color rgb="00898781"/>
              <sz val="9"/>
            </rPr>
            <t xml:space="preserve"> — исходные данные и параметры (ввод),  </t>
          </r>
          <r>
            <rPr>
              <rFont val="Calibri"/>
              <b val="1"/>
              <color rgb="001F2328"/>
              <sz val="9"/>
            </rPr>
            <t>чёрный</t>
          </r>
          <r>
            <rPr>
              <rFont val="Calibri"/>
              <color rgb="00898781"/>
              <sz val="9"/>
            </rPr>
            <t xml:space="preserve"> — формулы,  </t>
          </r>
          <r>
            <rPr>
              <rFont val="Calibri"/>
              <b val="1"/>
              <color rgb="00008000"/>
              <sz val="9"/>
            </rPr>
            <t>зелёный</t>
          </r>
          <r>
            <rPr>
              <rFont val="Calibri"/>
              <color rgb="00898781"/>
              <sz val="9"/>
            </rPr>
            <t xml:space="preserve"> — ссылки на другие листы,  жёлтая заливка — ячейки для ввода</t>
          </r>
        </is>
      </c>
    </row>
    <row r="4">
      <c r="C4" s="94" t="inlineStr">
        <is>
          <t>Граница класса A (накопленная доля)</t>
        </is>
      </c>
      <c r="D4" s="95" t="n">
        <v>0.8</v>
      </c>
      <c r="J4" s="94" t="inlineStr">
        <is>
          <t>Граница X (коэф. вариации)</t>
        </is>
      </c>
      <c r="K4" s="95" t="n">
        <v>0.1</v>
      </c>
      <c r="N4" s="96" t="inlineStr">
        <is>
          <t>Период анализа: 12 последних месяцев факта</t>
        </is>
      </c>
    </row>
    <row r="5">
      <c r="C5" s="94" t="inlineStr">
        <is>
          <t>Граница класса B (накопленная доля)</t>
        </is>
      </c>
      <c r="D5" s="95" t="n">
        <v>0.95</v>
      </c>
      <c r="J5" s="94" t="inlineStr">
        <is>
          <t>Граница Y (коэф. вариации)</t>
        </is>
      </c>
      <c r="K5" s="95" t="n">
        <v>0.25</v>
      </c>
      <c r="N5" s="96" t="inlineStr">
        <is>
          <t>Строки сортируются формулами по убыванию стоимости</t>
        </is>
      </c>
    </row>
    <row r="6">
      <c r="Q6" s="4" t="inlineStr">
        <is>
          <t>Вспомогательный расчёт (в порядке справочника)</t>
        </is>
      </c>
      <c r="W6" s="4" t="inlineStr">
        <is>
          <t>Спрос за 12 мес. в порядке ранга (для XYZ и мини-графиков)</t>
        </is>
      </c>
    </row>
    <row r="7" ht="44" customHeight="1">
      <c r="A7" s="41" t="inlineStr">
        <is>
          <t>№</t>
        </is>
      </c>
      <c r="B7" s="41" t="inlineStr">
        <is>
          <t>Код</t>
        </is>
      </c>
      <c r="C7" s="42" t="inlineStr">
        <is>
          <t>Наименование</t>
        </is>
      </c>
      <c r="D7" s="41" t="inlineStr">
        <is>
          <t>Закупки 12 мес., тыс. ₽</t>
        </is>
      </c>
      <c r="E7" s="41" t="inlineStr">
        <is>
          <t>Доля</t>
        </is>
      </c>
      <c r="F7" s="41" t="inlineStr">
        <is>
          <t>Накопл. доля</t>
        </is>
      </c>
      <c r="G7" s="41" t="inlineStr">
        <is>
          <t>ABC</t>
        </is>
      </c>
      <c r="H7" s="41" t="inlineStr">
        <is>
          <t>Спрос по месяцам (12 мес.)</t>
        </is>
      </c>
      <c r="I7" s="41" t="inlineStr">
        <is>
          <t>Средний спрос, ед./мес.</t>
        </is>
      </c>
      <c r="J7" s="41" t="inlineStr">
        <is>
          <t>σ спроса, ед./мес.</t>
        </is>
      </c>
      <c r="K7" s="41" t="inlineStr">
        <is>
          <t>Коэф. вариации</t>
        </is>
      </c>
      <c r="L7" s="41" t="inlineStr">
        <is>
          <t>XYZ</t>
        </is>
      </c>
      <c r="M7" s="41" t="inlineStr">
        <is>
          <t>Класс</t>
        </is>
      </c>
      <c r="N7" s="97" t="inlineStr">
        <is>
          <t>Стратегия управления запасом</t>
        </is>
      </c>
      <c r="Q7" s="15" t="inlineStr">
        <is>
          <t>Код</t>
        </is>
      </c>
      <c r="R7" s="15" t="inlineStr">
        <is>
          <t>Закупки 12 мес., ₽</t>
        </is>
      </c>
      <c r="S7" s="15" t="inlineStr">
        <is>
          <t>Ранг</t>
        </is>
      </c>
      <c r="T7" s="15" t="inlineStr">
        <is>
          <t>Граница A</t>
        </is>
      </c>
      <c r="U7" s="15" t="inlineStr">
        <is>
          <t>Граница B</t>
        </is>
      </c>
      <c r="W7" s="98">
        <f>'Данные'!R6</f>
        <v>45931.0</v>
      </c>
      <c r="X7" s="98">
        <f>'Данные'!S6</f>
        <v>45962.0</v>
      </c>
      <c r="Y7" s="98">
        <f>'Данные'!T6</f>
        <v>45992.0</v>
      </c>
      <c r="Z7" s="98">
        <f>'Данные'!U6</f>
        <v>46023.0</v>
      </c>
      <c r="AA7" s="98">
        <f>'Данные'!V6</f>
        <v>46054.0</v>
      </c>
      <c r="AB7" s="98">
        <f>'Данные'!W6</f>
        <v>46082.0</v>
      </c>
      <c r="AC7" s="98">
        <f>'Данные'!X6</f>
        <v>46113.0</v>
      </c>
      <c r="AD7" s="98">
        <f>'Данные'!Y6</f>
        <v>46143.0</v>
      </c>
      <c r="AE7" s="98">
        <f>'Данные'!Z6</f>
        <v>46174.0</v>
      </c>
      <c r="AF7" s="98">
        <f>'Данные'!AA6</f>
        <v>46204.0</v>
      </c>
      <c r="AG7" s="98">
        <f>'Данные'!AB6</f>
        <v>46235.0</v>
      </c>
      <c r="AH7" s="98">
        <f>'Данные'!AC6</f>
        <v>46266.0</v>
      </c>
    </row>
    <row r="8" ht="19" customHeight="1">
      <c r="A8" s="99" t="n">
        <v>1</v>
      </c>
      <c r="B8" s="100" t="str">
        <f>INDEX($Q$8:$Q$19,MATCH($A8,$S$8:$S$19,0))</f>
        <v>ESP-01</v>
      </c>
      <c r="C8" s="101" t="str">
        <f>INDEX(SKU_Names,MATCH($B8,SKU_Codes,0))</f>
        <v>Зерно «Эспрессо-бленд»</v>
      </c>
      <c r="D8" s="80">
        <f>INDEX($R$8:$R$19,MATCH($A8,$S$8:$S$19,0))/1000</f>
        <v>7827.12</v>
      </c>
      <c r="E8" s="84">
        <f>D8/SUM($D$8:$D$19)</f>
        <v>0.365367362848635</v>
      </c>
      <c r="F8" s="84">
        <f>SUM($E$8:E8)</f>
        <v>0.365367362848635</v>
      </c>
      <c r="G8" s="102" t="str">
        <f>IF(F8&lt;=Thr_A,"A",IF(F8&lt;=Thr_B,"B","C"))</f>
        <v>A</v>
      </c>
      <c r="H8" s="101" t="n"/>
      <c r="I8" s="80">
        <f>AVERAGE(W8:AH8)</f>
        <v>388.25</v>
      </c>
      <c r="J8" s="70">
        <f>_xlfn.STDEV.P(W8:AH8)</f>
        <v>21.683807322516</v>
      </c>
      <c r="K8" s="84">
        <f>J8/I8</f>
        <v>0.0558501154475622</v>
      </c>
      <c r="L8" s="102" t="str">
        <f>IF(K8&lt;=Thr_X,"X",IF(K8&lt;=Thr_Y,"Y","Z"))</f>
        <v>X</v>
      </c>
      <c r="M8" s="102" t="str">
        <f>G8&amp;L8</f>
        <v>AX</v>
      </c>
      <c r="N8" s="103" t="str">
        <f>INDEX($C$31:$C$39,MATCH(M8,$B$31:$B$39,0))</f>
        <v>Постоянное наличие, частые поставки, минимальный запас</v>
      </c>
      <c r="Q8" s="104" t="str">
        <f>'Данные'!A7</f>
        <v>ESP-01</v>
      </c>
      <c r="R8" s="18">
        <f>SUM('Данные'!R7:AC7)*'Данные'!E7</f>
        <v>7827120</v>
      </c>
      <c r="S8" s="16">
        <f>RANK(R8,$R$8:$R$19,0)+COUNTIF($R$8:R8,R8)-1</f>
        <v>1</v>
      </c>
      <c r="T8" s="105">
        <f>Thr_A</f>
        <v>0.8</v>
      </c>
      <c r="U8" s="105">
        <f>Thr_B</f>
        <v>0.95</v>
      </c>
      <c r="W8" s="106">
        <f>INDEX('Данные'!$R$7:$AC$18,MATCH($B8,SKU_Codes,0),1)</f>
        <v>400</v>
      </c>
      <c r="X8" s="106">
        <f>INDEX('Данные'!$R$7:$AC$18,MATCH($B8,SKU_Codes,0),2)</f>
        <v>406</v>
      </c>
      <c r="Y8" s="106">
        <f>INDEX('Данные'!$R$7:$AC$18,MATCH($B8,SKU_Codes,0),3)</f>
        <v>427</v>
      </c>
      <c r="Z8" s="106">
        <f>INDEX('Данные'!$R$7:$AC$18,MATCH($B8,SKU_Codes,0),4)</f>
        <v>350</v>
      </c>
      <c r="AA8" s="106">
        <f>INDEX('Данные'!$R$7:$AC$18,MATCH($B8,SKU_Codes,0),5)</f>
        <v>370</v>
      </c>
      <c r="AB8" s="106">
        <f>INDEX('Данные'!$R$7:$AC$18,MATCH($B8,SKU_Codes,0),6)</f>
        <v>405</v>
      </c>
      <c r="AC8" s="106">
        <f>INDEX('Данные'!$R$7:$AC$18,MATCH($B8,SKU_Codes,0),7)</f>
        <v>394</v>
      </c>
      <c r="AD8" s="106">
        <f>INDEX('Данные'!$R$7:$AC$18,MATCH($B8,SKU_Codes,0),8)</f>
        <v>372</v>
      </c>
      <c r="AE8" s="106">
        <f>INDEX('Данные'!$R$7:$AC$18,MATCH($B8,SKU_Codes,0),9)</f>
        <v>371</v>
      </c>
      <c r="AF8" s="106">
        <f>INDEX('Данные'!$R$7:$AC$18,MATCH($B8,SKU_Codes,0),10)</f>
        <v>376</v>
      </c>
      <c r="AG8" s="106">
        <f>INDEX('Данные'!$R$7:$AC$18,MATCH($B8,SKU_Codes,0),11)</f>
        <v>374</v>
      </c>
      <c r="AH8" s="106">
        <f>INDEX('Данные'!$R$7:$AC$18,MATCH($B8,SKU_Codes,0),12)</f>
        <v>414</v>
      </c>
    </row>
    <row r="9" ht="19" customHeight="1">
      <c r="A9" s="99" t="n">
        <v>2</v>
      </c>
      <c r="B9" s="100" t="str">
        <f>INDEX($Q$8:$Q$19,MATCH($A9,$S$8:$S$19,0))</f>
        <v>MLK-03</v>
      </c>
      <c r="C9" s="101" t="str">
        <f>INDEX(SKU_Names,MATCH($B9,SKU_Codes,0))</f>
        <v>Молоко 3,2 %</v>
      </c>
      <c r="D9" s="80">
        <f>INDEX($R$8:$R$19,MATCH($A9,$S$8:$S$19,0))/1000</f>
        <v>3874.212</v>
      </c>
      <c r="E9" s="84">
        <f>D9/SUM($D$8:$D$19)</f>
        <v>0.180846929848595</v>
      </c>
      <c r="F9" s="84">
        <f>SUM($E$8:E9)</f>
        <v>0.546214292697231</v>
      </c>
      <c r="G9" s="102" t="str">
        <f>IF(F9&lt;=Thr_A,"A",IF(F9&lt;=Thr_B,"B","C"))</f>
        <v>A</v>
      </c>
      <c r="H9" s="101" t="n"/>
      <c r="I9" s="80">
        <f>AVERAGE(W9:AH9)</f>
        <v>3509.25</v>
      </c>
      <c r="J9" s="70">
        <f>_xlfn.STDEV.P(W9:AH9)</f>
        <v>219.678979801588</v>
      </c>
      <c r="K9" s="84">
        <f>J9/I9</f>
        <v>0.0625999799961782</v>
      </c>
      <c r="L9" s="102" t="str">
        <f>IF(K9&lt;=Thr_X,"X",IF(K9&lt;=Thr_Y,"Y","Z"))</f>
        <v>X</v>
      </c>
      <c r="M9" s="102" t="str">
        <f>G9&amp;L9</f>
        <v>AX</v>
      </c>
      <c r="N9" s="103" t="str">
        <f>INDEX($C$31:$C$39,MATCH(M9,$B$31:$B$39,0))</f>
        <v>Постоянное наличие, частые поставки, минимальный запас</v>
      </c>
      <c r="Q9" s="104" t="str">
        <f>'Данные'!A8</f>
        <v>FLT-02</v>
      </c>
      <c r="R9" s="18">
        <f>SUM('Данные'!R8:AC8)*'Данные'!E8</f>
        <v>1335250</v>
      </c>
      <c r="S9" s="16">
        <f>RANK(R9,$R$8:$R$19,0)+COUNTIF($R$8:R9,R9)-1</f>
        <v>6</v>
      </c>
      <c r="T9" s="105">
        <f>Thr_A</f>
        <v>0.8</v>
      </c>
      <c r="U9" s="105">
        <f>Thr_B</f>
        <v>0.95</v>
      </c>
      <c r="W9" s="106">
        <f>INDEX('Данные'!$R$7:$AC$18,MATCH($B9,SKU_Codes,0),1)</f>
        <v>3570</v>
      </c>
      <c r="X9" s="106">
        <f>INDEX('Данные'!$R$7:$AC$18,MATCH($B9,SKU_Codes,0),2)</f>
        <v>3619</v>
      </c>
      <c r="Y9" s="106">
        <f>INDEX('Данные'!$R$7:$AC$18,MATCH($B9,SKU_Codes,0),3)</f>
        <v>3779</v>
      </c>
      <c r="Z9" s="106">
        <f>INDEX('Данные'!$R$7:$AC$18,MATCH($B9,SKU_Codes,0),4)</f>
        <v>3123</v>
      </c>
      <c r="AA9" s="106">
        <f>INDEX('Данные'!$R$7:$AC$18,MATCH($B9,SKU_Codes,0),5)</f>
        <v>3343</v>
      </c>
      <c r="AB9" s="106">
        <f>INDEX('Данные'!$R$7:$AC$18,MATCH($B9,SKU_Codes,0),6)</f>
        <v>3858</v>
      </c>
      <c r="AC9" s="106">
        <f>INDEX('Данные'!$R$7:$AC$18,MATCH($B9,SKU_Codes,0),7)</f>
        <v>3561</v>
      </c>
      <c r="AD9" s="106">
        <f>INDEX('Данные'!$R$7:$AC$18,MATCH($B9,SKU_Codes,0),8)</f>
        <v>3629</v>
      </c>
      <c r="AE9" s="106">
        <f>INDEX('Данные'!$R$7:$AC$18,MATCH($B9,SKU_Codes,0),9)</f>
        <v>3299</v>
      </c>
      <c r="AF9" s="106">
        <f>INDEX('Данные'!$R$7:$AC$18,MATCH($B9,SKU_Codes,0),10)</f>
        <v>3394</v>
      </c>
      <c r="AG9" s="106">
        <f>INDEX('Данные'!$R$7:$AC$18,MATCH($B9,SKU_Codes,0),11)</f>
        <v>3229</v>
      </c>
      <c r="AH9" s="106">
        <f>INDEX('Данные'!$R$7:$AC$18,MATCH($B9,SKU_Codes,0),12)</f>
        <v>3707</v>
      </c>
    </row>
    <row r="10" ht="19" customHeight="1">
      <c r="A10" s="99" t="n">
        <v>3</v>
      </c>
      <c r="B10" s="100" t="str">
        <f>INDEX($Q$8:$Q$19,MATCH($A10,$S$8:$S$19,0))</f>
        <v>CRS-09</v>
      </c>
      <c r="C10" s="101" t="str">
        <f>INDEX(SKU_Names,MATCH($B10,SKU_Codes,0))</f>
        <v>Круассан сливочный, заморозка</v>
      </c>
      <c r="D10" s="80">
        <f>INDEX($R$8:$R$19,MATCH($A10,$S$8:$S$19,0))/1000</f>
        <v>3363.228</v>
      </c>
      <c r="E10" s="84">
        <f>D10/SUM($D$8:$D$19)</f>
        <v>0.156994366384914</v>
      </c>
      <c r="F10" s="84">
        <f>SUM($E$8:E10)</f>
        <v>0.703208659082145</v>
      </c>
      <c r="G10" s="102" t="str">
        <f>IF(F10&lt;=Thr_A,"A",IF(F10&lt;=Thr_B,"B","C"))</f>
        <v>A</v>
      </c>
      <c r="H10" s="101" t="n"/>
      <c r="I10" s="80">
        <f>AVERAGE(W10:AH10)</f>
        <v>5190.16666666667</v>
      </c>
      <c r="J10" s="70">
        <f>_xlfn.STDEV.P(W10:AH10)</f>
        <v>323.691167970679</v>
      </c>
      <c r="K10" s="84">
        <f>J10/I10</f>
        <v>0.0623662376874241</v>
      </c>
      <c r="L10" s="102" t="str">
        <f>IF(K10&lt;=Thr_X,"X",IF(K10&lt;=Thr_Y,"Y","Z"))</f>
        <v>X</v>
      </c>
      <c r="M10" s="102" t="str">
        <f>G10&amp;L10</f>
        <v>AX</v>
      </c>
      <c r="N10" s="103" t="str">
        <f>INDEX($C$31:$C$39,MATCH(M10,$B$31:$B$39,0))</f>
        <v>Постоянное наличие, частые поставки, минимальный запас</v>
      </c>
      <c r="Q10" s="104" t="str">
        <f>'Данные'!A9</f>
        <v>MLK-03</v>
      </c>
      <c r="R10" s="18">
        <f>SUM('Данные'!R9:AC9)*'Данные'!E9</f>
        <v>3874212</v>
      </c>
      <c r="S10" s="16">
        <f>RANK(R10,$R$8:$R$19,0)+COUNTIF($R$8:R10,R10)-1</f>
        <v>2</v>
      </c>
      <c r="T10" s="105">
        <f>Thr_A</f>
        <v>0.8</v>
      </c>
      <c r="U10" s="105">
        <f>Thr_B</f>
        <v>0.95</v>
      </c>
      <c r="W10" s="106">
        <f>INDEX('Данные'!$R$7:$AC$18,MATCH($B10,SKU_Codes,0),1)</f>
        <v>5411</v>
      </c>
      <c r="X10" s="106">
        <f>INDEX('Данные'!$R$7:$AC$18,MATCH($B10,SKU_Codes,0),2)</f>
        <v>5725</v>
      </c>
      <c r="Y10" s="106">
        <f>INDEX('Данные'!$R$7:$AC$18,MATCH($B10,SKU_Codes,0),3)</f>
        <v>5545</v>
      </c>
      <c r="Z10" s="106">
        <f>INDEX('Данные'!$R$7:$AC$18,MATCH($B10,SKU_Codes,0),4)</f>
        <v>4987</v>
      </c>
      <c r="AA10" s="106">
        <f>INDEX('Данные'!$R$7:$AC$18,MATCH($B10,SKU_Codes,0),5)</f>
        <v>5181</v>
      </c>
      <c r="AB10" s="106">
        <f>INDEX('Данные'!$R$7:$AC$18,MATCH($B10,SKU_Codes,0),6)</f>
        <v>5272</v>
      </c>
      <c r="AC10" s="106">
        <f>INDEX('Данные'!$R$7:$AC$18,MATCH($B10,SKU_Codes,0),7)</f>
        <v>5091</v>
      </c>
      <c r="AD10" s="106">
        <f>INDEX('Данные'!$R$7:$AC$18,MATCH($B10,SKU_Codes,0),8)</f>
        <v>5174</v>
      </c>
      <c r="AE10" s="106">
        <f>INDEX('Данные'!$R$7:$AC$18,MATCH($B10,SKU_Codes,0),9)</f>
        <v>5053</v>
      </c>
      <c r="AF10" s="106">
        <f>INDEX('Данные'!$R$7:$AC$18,MATCH($B10,SKU_Codes,0),10)</f>
        <v>4456</v>
      </c>
      <c r="AG10" s="106">
        <f>INDEX('Данные'!$R$7:$AC$18,MATCH($B10,SKU_Codes,0),11)</f>
        <v>4893</v>
      </c>
      <c r="AH10" s="106">
        <f>INDEX('Данные'!$R$7:$AC$18,MATCH($B10,SKU_Codes,0),12)</f>
        <v>5494</v>
      </c>
    </row>
    <row r="11" ht="19" customHeight="1">
      <c r="A11" s="99" t="n">
        <v>4</v>
      </c>
      <c r="B11" s="100" t="str">
        <f>INDEX($Q$8:$Q$19,MATCH($A11,$S$8:$S$19,0))</f>
        <v>OAT-04</v>
      </c>
      <c r="C11" s="101" t="str">
        <f>INDEX(SKU_Names,MATCH($B11,SKU_Codes,0))</f>
        <v>Напиток овсяный «Бариста»</v>
      </c>
      <c r="D11" s="80">
        <f>INDEX($R$8:$R$19,MATCH($A11,$S$8:$S$19,0))/1000</f>
        <v>1634.885</v>
      </c>
      <c r="E11" s="84">
        <f>D11/SUM($D$8:$D$19)</f>
        <v>0.0763158889873659</v>
      </c>
      <c r="F11" s="84">
        <f>SUM($E$8:E11)</f>
        <v>0.779524548069511</v>
      </c>
      <c r="G11" s="102" t="str">
        <f>IF(F11&lt;=Thr_A,"A",IF(F11&lt;=Thr_B,"B","C"))</f>
        <v>A</v>
      </c>
      <c r="H11" s="101" t="n"/>
      <c r="I11" s="80">
        <f>AVERAGE(W11:AH11)</f>
        <v>556.083333333333</v>
      </c>
      <c r="J11" s="70">
        <f>_xlfn.STDEV.P(W11:AH11)</f>
        <v>70.0421995815539</v>
      </c>
      <c r="K11" s="84">
        <f>J11/I11</f>
        <v>0.125956300761074</v>
      </c>
      <c r="L11" s="102" t="str">
        <f>IF(K11&lt;=Thr_X,"X",IF(K11&lt;=Thr_Y,"Y","Z"))</f>
        <v>Y</v>
      </c>
      <c r="M11" s="102" t="str">
        <f>G11&amp;L11</f>
        <v>AY</v>
      </c>
      <c r="N11" s="103" t="str">
        <f>INDEX($C$31:$C$39,MATCH(M11,$B$31:$B$39,0))</f>
        <v>Регулярный контроль, запас с учётом сезонности</v>
      </c>
      <c r="Q11" s="104" t="str">
        <f>'Данные'!A10</f>
        <v>OAT-04</v>
      </c>
      <c r="R11" s="18">
        <f>SUM('Данные'!R10:AC10)*'Данные'!E10</f>
        <v>1634885</v>
      </c>
      <c r="S11" s="16">
        <f>RANK(R11,$R$8:$R$19,0)+COUNTIF($R$8:R11,R11)-1</f>
        <v>4</v>
      </c>
      <c r="T11" s="105">
        <f>Thr_A</f>
        <v>0.8</v>
      </c>
      <c r="U11" s="105">
        <f>Thr_B</f>
        <v>0.95</v>
      </c>
      <c r="W11" s="106">
        <f>INDEX('Данные'!$R$7:$AC$18,MATCH($B11,SKU_Codes,0),1)</f>
        <v>516</v>
      </c>
      <c r="X11" s="106">
        <f>INDEX('Данные'!$R$7:$AC$18,MATCH($B11,SKU_Codes,0),2)</f>
        <v>485</v>
      </c>
      <c r="Y11" s="106">
        <f>INDEX('Данные'!$R$7:$AC$18,MATCH($B11,SKU_Codes,0),3)</f>
        <v>520</v>
      </c>
      <c r="Z11" s="106">
        <f>INDEX('Данные'!$R$7:$AC$18,MATCH($B11,SKU_Codes,0),4)</f>
        <v>502</v>
      </c>
      <c r="AA11" s="106">
        <f>INDEX('Данные'!$R$7:$AC$18,MATCH($B11,SKU_Codes,0),5)</f>
        <v>505</v>
      </c>
      <c r="AB11" s="106">
        <f>INDEX('Данные'!$R$7:$AC$18,MATCH($B11,SKU_Codes,0),6)</f>
        <v>586</v>
      </c>
      <c r="AC11" s="106">
        <f>INDEX('Данные'!$R$7:$AC$18,MATCH($B11,SKU_Codes,0),7)</f>
        <v>592</v>
      </c>
      <c r="AD11" s="106">
        <f>INDEX('Данные'!$R$7:$AC$18,MATCH($B11,SKU_Codes,0),8)</f>
        <v>521</v>
      </c>
      <c r="AE11" s="106">
        <f>INDEX('Данные'!$R$7:$AC$18,MATCH($B11,SKU_Codes,0),9)</f>
        <v>529</v>
      </c>
      <c r="AF11" s="106">
        <f>INDEX('Данные'!$R$7:$AC$18,MATCH($B11,SKU_Codes,0),10)</f>
        <v>549</v>
      </c>
      <c r="AG11" s="106">
        <f>INDEX('Данные'!$R$7:$AC$18,MATCH($B11,SKU_Codes,0),11)</f>
        <v>619</v>
      </c>
      <c r="AH11" s="106">
        <f>INDEX('Данные'!$R$7:$AC$18,MATCH($B11,SKU_Codes,0),12)</f>
        <v>749</v>
      </c>
    </row>
    <row r="12" ht="19" customHeight="1">
      <c r="A12" s="99" t="n">
        <v>5</v>
      </c>
      <c r="B12" s="100" t="str">
        <f>INDEX($Q$8:$Q$19,MATCH($A12,$S$8:$S$19,0))</f>
        <v>CUP-07</v>
      </c>
      <c r="C12" s="101" t="str">
        <f>INDEX(SKU_Names,MATCH($B12,SKU_Codes,0))</f>
        <v>Стакан бумажный 300 мл</v>
      </c>
      <c r="D12" s="80">
        <f>INDEX($R$8:$R$19,MATCH($A12,$S$8:$S$19,0))/1000</f>
        <v>1363.1022</v>
      </c>
      <c r="E12" s="84">
        <f>D12/SUM($D$8:$D$19)</f>
        <v>0.063629158120378</v>
      </c>
      <c r="F12" s="84">
        <f>SUM($E$8:E12)</f>
        <v>0.843153706189889</v>
      </c>
      <c r="G12" s="102" t="str">
        <f>IF(F12&lt;=Thr_A,"A",IF(F12&lt;=Thr_B,"B","C"))</f>
        <v>B</v>
      </c>
      <c r="H12" s="101" t="n"/>
      <c r="I12" s="80">
        <f>AVERAGE(W12:AH12)</f>
        <v>15350.25</v>
      </c>
      <c r="J12" s="70">
        <f>_xlfn.STDEV.P(W12:AH12)</f>
        <v>2769.98622514626</v>
      </c>
      <c r="K12" s="84">
        <f>J12/I12</f>
        <v>0.180452189713279</v>
      </c>
      <c r="L12" s="102" t="str">
        <f>IF(K12&lt;=Thr_X,"X",IF(K12&lt;=Thr_Y,"Y","Z"))</f>
        <v>Y</v>
      </c>
      <c r="M12" s="102" t="str">
        <f>G12&amp;L12</f>
        <v>BY</v>
      </c>
      <c r="N12" s="103" t="str">
        <f>INDEX($C$31:$C$39,MATCH(M12,$B$31:$B$39,0))</f>
        <v>Плановые поставки, умеренный страховой запас</v>
      </c>
      <c r="Q12" s="104" t="str">
        <f>'Данные'!A11</f>
        <v>SYR-05</v>
      </c>
      <c r="R12" s="18">
        <f>SUM('Данные'!R11:AC11)*'Данные'!E11</f>
        <v>282960</v>
      </c>
      <c r="S12" s="16">
        <f>RANK(R12,$R$8:$R$19,0)+COUNTIF($R$8:R12,R12)-1</f>
        <v>10</v>
      </c>
      <c r="T12" s="105">
        <f>Thr_A</f>
        <v>0.8</v>
      </c>
      <c r="U12" s="105">
        <f>Thr_B</f>
        <v>0.95</v>
      </c>
      <c r="W12" s="106">
        <f>INDEX('Данные'!$R$7:$AC$18,MATCH($B12,SKU_Codes,0),1)</f>
        <v>13066</v>
      </c>
      <c r="X12" s="106">
        <f>INDEX('Данные'!$R$7:$AC$18,MATCH($B12,SKU_Codes,0),2)</f>
        <v>11112</v>
      </c>
      <c r="Y12" s="106">
        <f>INDEX('Данные'!$R$7:$AC$18,MATCH($B12,SKU_Codes,0),3)</f>
        <v>12971</v>
      </c>
      <c r="Z12" s="106">
        <f>INDEX('Данные'!$R$7:$AC$18,MATCH($B12,SKU_Codes,0),4)</f>
        <v>12319</v>
      </c>
      <c r="AA12" s="106">
        <f>INDEX('Данные'!$R$7:$AC$18,MATCH($B12,SKU_Codes,0),5)</f>
        <v>12952</v>
      </c>
      <c r="AB12" s="106">
        <f>INDEX('Данные'!$R$7:$AC$18,MATCH($B12,SKU_Codes,0),6)</f>
        <v>15824</v>
      </c>
      <c r="AC12" s="106">
        <f>INDEX('Данные'!$R$7:$AC$18,MATCH($B12,SKU_Codes,0),7)</f>
        <v>15834</v>
      </c>
      <c r="AD12" s="106">
        <f>INDEX('Данные'!$R$7:$AC$18,MATCH($B12,SKU_Codes,0),8)</f>
        <v>16103</v>
      </c>
      <c r="AE12" s="106">
        <f>INDEX('Данные'!$R$7:$AC$18,MATCH($B12,SKU_Codes,0),9)</f>
        <v>20454</v>
      </c>
      <c r="AF12" s="106">
        <f>INDEX('Данные'!$R$7:$AC$18,MATCH($B12,SKU_Codes,0),10)</f>
        <v>18132</v>
      </c>
      <c r="AG12" s="106">
        <f>INDEX('Данные'!$R$7:$AC$18,MATCH($B12,SKU_Codes,0),11)</f>
        <v>18783</v>
      </c>
      <c r="AH12" s="106">
        <f>INDEX('Данные'!$R$7:$AC$18,MATCH($B12,SKU_Codes,0),12)</f>
        <v>16653</v>
      </c>
    </row>
    <row r="13" ht="19" customHeight="1">
      <c r="A13" s="99" t="n">
        <v>6</v>
      </c>
      <c r="B13" s="100" t="str">
        <f>INDEX($Q$8:$Q$19,MATCH($A13,$S$8:$S$19,0))</f>
        <v>FLT-02</v>
      </c>
      <c r="C13" s="101" t="str">
        <f>INDEX(SKU_Names,MATCH($B13,SKU_Codes,0))</f>
        <v>Зерно «Эфиопия Иргачеффе», фильтр</v>
      </c>
      <c r="D13" s="80">
        <f>INDEX($R$8:$R$19,MATCH($A13,$S$8:$S$19,0))/1000</f>
        <v>1335.25</v>
      </c>
      <c r="E13" s="84">
        <f>D13/SUM($D$8:$D$19)</f>
        <v>0.0623290266718334</v>
      </c>
      <c r="F13" s="84">
        <f>SUM($E$8:E13)</f>
        <v>0.905482732861722</v>
      </c>
      <c r="G13" s="102" t="str">
        <f>IF(F13&lt;=Thr_A,"A",IF(F13&lt;=Thr_B,"B","C"))</f>
        <v>B</v>
      </c>
      <c r="H13" s="101" t="n"/>
      <c r="I13" s="80">
        <f>AVERAGE(W13:AH13)</f>
        <v>45.4166666666667</v>
      </c>
      <c r="J13" s="70">
        <f>_xlfn.STDEV.P(W13:AH13)</f>
        <v>6.62644114304369</v>
      </c>
      <c r="K13" s="84">
        <f>J13/I13</f>
        <v>0.14590329122298</v>
      </c>
      <c r="L13" s="102" t="str">
        <f>IF(K13&lt;=Thr_X,"X",IF(K13&lt;=Thr_Y,"Y","Z"))</f>
        <v>Y</v>
      </c>
      <c r="M13" s="102" t="str">
        <f>G13&amp;L13</f>
        <v>BY</v>
      </c>
      <c r="N13" s="103" t="str">
        <f>INDEX($C$31:$C$39,MATCH(M13,$B$31:$B$39,0))</f>
        <v>Плановые поставки, умеренный страховой запас</v>
      </c>
      <c r="Q13" s="104" t="str">
        <f>'Данные'!A12</f>
        <v>SYR-06</v>
      </c>
      <c r="R13" s="18">
        <f>SUM('Данные'!R12:AC12)*'Данные'!E12</f>
        <v>184830</v>
      </c>
      <c r="S13" s="16">
        <f>RANK(R13,$R$8:$R$19,0)+COUNTIF($R$8:R13,R13)-1</f>
        <v>12</v>
      </c>
      <c r="T13" s="105">
        <f>Thr_A</f>
        <v>0.8</v>
      </c>
      <c r="U13" s="105">
        <f>Thr_B</f>
        <v>0.95</v>
      </c>
      <c r="W13" s="106">
        <f>INDEX('Данные'!$R$7:$AC$18,MATCH($B13,SKU_Codes,0),1)</f>
        <v>38</v>
      </c>
      <c r="X13" s="106">
        <f>INDEX('Данные'!$R$7:$AC$18,MATCH($B13,SKU_Codes,0),2)</f>
        <v>37</v>
      </c>
      <c r="Y13" s="106">
        <f>INDEX('Данные'!$R$7:$AC$18,MATCH($B13,SKU_Codes,0),3)</f>
        <v>41</v>
      </c>
      <c r="Z13" s="106">
        <f>INDEX('Данные'!$R$7:$AC$18,MATCH($B13,SKU_Codes,0),4)</f>
        <v>43</v>
      </c>
      <c r="AA13" s="106">
        <f>INDEX('Данные'!$R$7:$AC$18,MATCH($B13,SKU_Codes,0),5)</f>
        <v>42</v>
      </c>
      <c r="AB13" s="106">
        <f>INDEX('Данные'!$R$7:$AC$18,MATCH($B13,SKU_Codes,0),6)</f>
        <v>41</v>
      </c>
      <c r="AC13" s="106">
        <f>INDEX('Данные'!$R$7:$AC$18,MATCH($B13,SKU_Codes,0),7)</f>
        <v>42</v>
      </c>
      <c r="AD13" s="106">
        <f>INDEX('Данные'!$R$7:$AC$18,MATCH($B13,SKU_Codes,0),8)</f>
        <v>52</v>
      </c>
      <c r="AE13" s="106">
        <f>INDEX('Данные'!$R$7:$AC$18,MATCH($B13,SKU_Codes,0),9)</f>
        <v>51</v>
      </c>
      <c r="AF13" s="106">
        <f>INDEX('Данные'!$R$7:$AC$18,MATCH($B13,SKU_Codes,0),10)</f>
        <v>54</v>
      </c>
      <c r="AG13" s="106">
        <f>INDEX('Данные'!$R$7:$AC$18,MATCH($B13,SKU_Codes,0),11)</f>
        <v>59</v>
      </c>
      <c r="AH13" s="106">
        <f>INDEX('Данные'!$R$7:$AC$18,MATCH($B13,SKU_Codes,0),12)</f>
        <v>45</v>
      </c>
    </row>
    <row r="14" ht="19" customHeight="1">
      <c r="A14" s="99" t="n">
        <v>7</v>
      </c>
      <c r="B14" s="100" t="str">
        <f>INDEX($Q$8:$Q$19,MATCH($A14,$S$8:$S$19,0))</f>
        <v>LID-08</v>
      </c>
      <c r="C14" s="101" t="str">
        <f>INDEX(SKU_Names,MATCH($B14,SKU_Codes,0))</f>
        <v>Крышка для стакана Ø 90 мм</v>
      </c>
      <c r="D14" s="80">
        <f>INDEX($R$8:$R$19,MATCH($A14,$S$8:$S$19,0))/1000</f>
        <v>541.8459</v>
      </c>
      <c r="E14" s="84">
        <f>D14/SUM($D$8:$D$19)</f>
        <v>0.0252931867089486</v>
      </c>
      <c r="F14" s="84">
        <f>SUM($E$8:E14)</f>
        <v>0.930775919570671</v>
      </c>
      <c r="G14" s="102" t="str">
        <f>IF(F14&lt;=Thr_A,"A",IF(F14&lt;=Thr_B,"B","C"))</f>
        <v>B</v>
      </c>
      <c r="H14" s="101" t="n"/>
      <c r="I14" s="80">
        <f>AVERAGE(W14:AH14)</f>
        <v>14565.75</v>
      </c>
      <c r="J14" s="70">
        <f>_xlfn.STDEV.P(W14:AH14)</f>
        <v>2146.40991444629</v>
      </c>
      <c r="K14" s="84">
        <f>J14/I14</f>
        <v>0.14736006827292</v>
      </c>
      <c r="L14" s="102" t="str">
        <f>IF(K14&lt;=Thr_X,"X",IF(K14&lt;=Thr_Y,"Y","Z"))</f>
        <v>Y</v>
      </c>
      <c r="M14" s="102" t="str">
        <f>G14&amp;L14</f>
        <v>BY</v>
      </c>
      <c r="N14" s="103" t="str">
        <f>INDEX($C$31:$C$39,MATCH(M14,$B$31:$B$39,0))</f>
        <v>Плановые поставки, умеренный страховой запас</v>
      </c>
      <c r="Q14" s="104" t="str">
        <f>'Данные'!A13</f>
        <v>CUP-07</v>
      </c>
      <c r="R14" s="18">
        <f>SUM('Данные'!R13:AC13)*'Данные'!E13</f>
        <v>1363102.2</v>
      </c>
      <c r="S14" s="16">
        <f>RANK(R14,$R$8:$R$19,0)+COUNTIF($R$8:R14,R14)-1</f>
        <v>5</v>
      </c>
      <c r="T14" s="105">
        <f>Thr_A</f>
        <v>0.8</v>
      </c>
      <c r="U14" s="105">
        <f>Thr_B</f>
        <v>0.95</v>
      </c>
      <c r="W14" s="106">
        <f>INDEX('Данные'!$R$7:$AC$18,MATCH($B14,SKU_Codes,0),1)</f>
        <v>13680</v>
      </c>
      <c r="X14" s="106">
        <f>INDEX('Данные'!$R$7:$AC$18,MATCH($B14,SKU_Codes,0),2)</f>
        <v>12302</v>
      </c>
      <c r="Y14" s="106">
        <f>INDEX('Данные'!$R$7:$AC$18,MATCH($B14,SKU_Codes,0),3)</f>
        <v>12970</v>
      </c>
      <c r="Z14" s="106">
        <f>INDEX('Данные'!$R$7:$AC$18,MATCH($B14,SKU_Codes,0),4)</f>
        <v>11135</v>
      </c>
      <c r="AA14" s="106">
        <f>INDEX('Данные'!$R$7:$AC$18,MATCH($B14,SKU_Codes,0),5)</f>
        <v>12676</v>
      </c>
      <c r="AB14" s="106">
        <f>INDEX('Данные'!$R$7:$AC$18,MATCH($B14,SKU_Codes,0),6)</f>
        <v>14218</v>
      </c>
      <c r="AC14" s="106">
        <f>INDEX('Данные'!$R$7:$AC$18,MATCH($B14,SKU_Codes,0),7)</f>
        <v>15278</v>
      </c>
      <c r="AD14" s="106">
        <f>INDEX('Данные'!$R$7:$AC$18,MATCH($B14,SKU_Codes,0),8)</f>
        <v>16118</v>
      </c>
      <c r="AE14" s="106">
        <f>INDEX('Данные'!$R$7:$AC$18,MATCH($B14,SKU_Codes,0),9)</f>
        <v>14581</v>
      </c>
      <c r="AF14" s="106">
        <f>INDEX('Данные'!$R$7:$AC$18,MATCH($B14,SKU_Codes,0),10)</f>
        <v>18835</v>
      </c>
      <c r="AG14" s="106">
        <f>INDEX('Данные'!$R$7:$AC$18,MATCH($B14,SKU_Codes,0),11)</f>
        <v>17672</v>
      </c>
      <c r="AH14" s="106">
        <f>INDEX('Данные'!$R$7:$AC$18,MATCH($B14,SKU_Codes,0),12)</f>
        <v>15324</v>
      </c>
    </row>
    <row r="15" ht="19" customHeight="1">
      <c r="A15" s="99" t="n">
        <v>8</v>
      </c>
      <c r="B15" s="100" t="str">
        <f>INDEX($Q$8:$Q$19,MATCH($A15,$S$8:$S$19,0))</f>
        <v>TEA-10</v>
      </c>
      <c r="C15" s="101" t="str">
        <f>INDEX(SKU_Names,MATCH($B15,SKU_Codes,0))</f>
        <v>Чай зелёный «Сенча», 500 г</v>
      </c>
      <c r="D15" s="80">
        <f>INDEX($R$8:$R$19,MATCH($A15,$S$8:$S$19,0))/1000</f>
        <v>471.25</v>
      </c>
      <c r="E15" s="84">
        <f>D15/SUM($D$8:$D$19)</f>
        <v>0.0219977935361179</v>
      </c>
      <c r="F15" s="84">
        <f>SUM($E$8:E15)</f>
        <v>0.952773713106789</v>
      </c>
      <c r="G15" s="102" t="str">
        <f>IF(F15&lt;=Thr_A,"A",IF(F15&lt;=Thr_B,"B","C"))</f>
        <v>C</v>
      </c>
      <c r="H15" s="101" t="n"/>
      <c r="I15" s="80">
        <f>AVERAGE(W15:AH15)</f>
        <v>27.0833333333333</v>
      </c>
      <c r="J15" s="70">
        <f>_xlfn.STDEV.P(W15:AH15)</f>
        <v>7.48841698150476</v>
      </c>
      <c r="K15" s="84">
        <f>J15/I15</f>
        <v>0.276495396240176</v>
      </c>
      <c r="L15" s="102" t="str">
        <f>IF(K15&lt;=Thr_X,"X",IF(K15&lt;=Thr_Y,"Y","Z"))</f>
        <v>Z</v>
      </c>
      <c r="M15" s="102" t="str">
        <f>G15&amp;L15</f>
        <v>CZ</v>
      </c>
      <c r="N15" s="103" t="str">
        <f>INDEX($C$31:$C$39,MATCH(M15,$B$31:$B$39,0))</f>
        <v>Заказ под сезон, минимум запаса вне сезона</v>
      </c>
      <c r="Q15" s="104" t="str">
        <f>'Данные'!A14</f>
        <v>LID-08</v>
      </c>
      <c r="R15" s="18">
        <f>SUM('Данные'!R14:AC14)*'Данные'!E14</f>
        <v>541845.9</v>
      </c>
      <c r="S15" s="16">
        <f>RANK(R15,$R$8:$R$19,0)+COUNTIF($R$8:R15,R15)-1</f>
        <v>7</v>
      </c>
      <c r="T15" s="105">
        <f>Thr_A</f>
        <v>0.8</v>
      </c>
      <c r="U15" s="105">
        <f>Thr_B</f>
        <v>0.95</v>
      </c>
      <c r="W15" s="106">
        <f>INDEX('Данные'!$R$7:$AC$18,MATCH($B15,SKU_Codes,0),1)</f>
        <v>25</v>
      </c>
      <c r="X15" s="106">
        <f>INDEX('Данные'!$R$7:$AC$18,MATCH($B15,SKU_Codes,0),2)</f>
        <v>31</v>
      </c>
      <c r="Y15" s="106">
        <f>INDEX('Данные'!$R$7:$AC$18,MATCH($B15,SKU_Codes,0),3)</f>
        <v>33</v>
      </c>
      <c r="Z15" s="106">
        <f>INDEX('Данные'!$R$7:$AC$18,MATCH($B15,SKU_Codes,0),4)</f>
        <v>39</v>
      </c>
      <c r="AA15" s="106">
        <f>INDEX('Данные'!$R$7:$AC$18,MATCH($B15,SKU_Codes,0),5)</f>
        <v>37</v>
      </c>
      <c r="AB15" s="106">
        <f>INDEX('Данные'!$R$7:$AC$18,MATCH($B15,SKU_Codes,0),6)</f>
        <v>32</v>
      </c>
      <c r="AC15" s="106">
        <f>INDEX('Данные'!$R$7:$AC$18,MATCH($B15,SKU_Codes,0),7)</f>
        <v>29</v>
      </c>
      <c r="AD15" s="106">
        <f>INDEX('Данные'!$R$7:$AC$18,MATCH($B15,SKU_Codes,0),8)</f>
        <v>18</v>
      </c>
      <c r="AE15" s="106">
        <f>INDEX('Данные'!$R$7:$AC$18,MATCH($B15,SKU_Codes,0),9)</f>
        <v>18</v>
      </c>
      <c r="AF15" s="106">
        <f>INDEX('Данные'!$R$7:$AC$18,MATCH($B15,SKU_Codes,0),10)</f>
        <v>17</v>
      </c>
      <c r="AG15" s="106">
        <f>INDEX('Данные'!$R$7:$AC$18,MATCH($B15,SKU_Codes,0),11)</f>
        <v>18</v>
      </c>
      <c r="AH15" s="106">
        <f>INDEX('Данные'!$R$7:$AC$18,MATCH($B15,SKU_Codes,0),12)</f>
        <v>28</v>
      </c>
    </row>
    <row r="16" ht="19" customHeight="1">
      <c r="A16" s="99" t="n">
        <v>9</v>
      </c>
      <c r="B16" s="100" t="str">
        <f>INDEX($Q$8:$Q$19,MATCH($A16,$S$8:$S$19,0))</f>
        <v>CHO-12</v>
      </c>
      <c r="C16" s="101" t="str">
        <f>INDEX(SKU_Names,MATCH($B16,SKU_Codes,0))</f>
        <v>Шоколад для горячего шоколада</v>
      </c>
      <c r="D16" s="80">
        <f>INDEX($R$8:$R$19,MATCH($A16,$S$8:$S$19,0))/1000</f>
        <v>354.2</v>
      </c>
      <c r="E16" s="84">
        <f>D16/SUM($D$8:$D$19)</f>
        <v>0.0165339383989241</v>
      </c>
      <c r="F16" s="84">
        <f>SUM($E$8:E16)</f>
        <v>0.969307651505713</v>
      </c>
      <c r="G16" s="102" t="str">
        <f>IF(F16&lt;=Thr_A,"A",IF(F16&lt;=Thr_B,"B","C"))</f>
        <v>C</v>
      </c>
      <c r="H16" s="101" t="n"/>
      <c r="I16" s="80">
        <f>AVERAGE(W16:AH16)</f>
        <v>25.6666666666667</v>
      </c>
      <c r="J16" s="70">
        <f>_xlfn.STDEV.P(W16:AH16)</f>
        <v>10.8499871991732</v>
      </c>
      <c r="K16" s="84">
        <f>J16/I16</f>
        <v>0.422726773993761</v>
      </c>
      <c r="L16" s="102" t="str">
        <f>IF(K16&lt;=Thr_X,"X",IF(K16&lt;=Thr_Y,"Y","Z"))</f>
        <v>Z</v>
      </c>
      <c r="M16" s="102" t="str">
        <f>G16&amp;L16</f>
        <v>CZ</v>
      </c>
      <c r="N16" s="103" t="str">
        <f>INDEX($C$31:$C$39,MATCH(M16,$B$31:$B$39,0))</f>
        <v>Заказ под сезон, минимум запаса вне сезона</v>
      </c>
      <c r="Q16" s="104" t="str">
        <f>'Данные'!A15</f>
        <v>CRS-09</v>
      </c>
      <c r="R16" s="18">
        <f>SUM('Данные'!R15:AC15)*'Данные'!E15</f>
        <v>3363228</v>
      </c>
      <c r="S16" s="16">
        <f>RANK(R16,$R$8:$R$19,0)+COUNTIF($R$8:R16,R16)-1</f>
        <v>3</v>
      </c>
      <c r="T16" s="105">
        <f>Thr_A</f>
        <v>0.8</v>
      </c>
      <c r="U16" s="105">
        <f>Thr_B</f>
        <v>0.95</v>
      </c>
      <c r="W16" s="106">
        <f>INDEX('Данные'!$R$7:$AC$18,MATCH($B16,SKU_Codes,0),1)</f>
        <v>29</v>
      </c>
      <c r="X16" s="106">
        <f>INDEX('Данные'!$R$7:$AC$18,MATCH($B16,SKU_Codes,0),2)</f>
        <v>37</v>
      </c>
      <c r="Y16" s="106">
        <f>INDEX('Данные'!$R$7:$AC$18,MATCH($B16,SKU_Codes,0),3)</f>
        <v>36</v>
      </c>
      <c r="Z16" s="106">
        <f>INDEX('Данные'!$R$7:$AC$18,MATCH($B16,SKU_Codes,0),4)</f>
        <v>42</v>
      </c>
      <c r="AA16" s="106">
        <f>INDEX('Данные'!$R$7:$AC$18,MATCH($B16,SKU_Codes,0),5)</f>
        <v>40</v>
      </c>
      <c r="AB16" s="106">
        <f>INDEX('Данные'!$R$7:$AC$18,MATCH($B16,SKU_Codes,0),6)</f>
        <v>29</v>
      </c>
      <c r="AC16" s="106">
        <f>INDEX('Данные'!$R$7:$AC$18,MATCH($B16,SKU_Codes,0),7)</f>
        <v>22</v>
      </c>
      <c r="AD16" s="106">
        <f>INDEX('Данные'!$R$7:$AC$18,MATCH($B16,SKU_Codes,0),8)</f>
        <v>14</v>
      </c>
      <c r="AE16" s="106">
        <f>INDEX('Данные'!$R$7:$AC$18,MATCH($B16,SKU_Codes,0),9)</f>
        <v>14</v>
      </c>
      <c r="AF16" s="106">
        <f>INDEX('Данные'!$R$7:$AC$18,MATCH($B16,SKU_Codes,0),10)</f>
        <v>11</v>
      </c>
      <c r="AG16" s="106">
        <f>INDEX('Данные'!$R$7:$AC$18,MATCH($B16,SKU_Codes,0),11)</f>
        <v>13</v>
      </c>
      <c r="AH16" s="106">
        <f>INDEX('Данные'!$R$7:$AC$18,MATCH($B16,SKU_Codes,0),12)</f>
        <v>21</v>
      </c>
    </row>
    <row r="17" ht="19" customHeight="1">
      <c r="A17" s="99" t="n">
        <v>10</v>
      </c>
      <c r="B17" s="100" t="str">
        <f>INDEX($Q$8:$Q$19,MATCH($A17,$S$8:$S$19,0))</f>
        <v>SYR-05</v>
      </c>
      <c r="C17" s="101" t="str">
        <f>INDEX(SKU_Names,MATCH($B17,SKU_Codes,0))</f>
        <v>Сироп «Ваниль», 1 л</v>
      </c>
      <c r="D17" s="80">
        <f>INDEX($R$8:$R$19,MATCH($A17,$S$8:$S$19,0))/1000</f>
        <v>282.96</v>
      </c>
      <c r="E17" s="84">
        <f>D17/SUM($D$8:$D$19)</f>
        <v>0.0132084788519468</v>
      </c>
      <c r="F17" s="84">
        <f>SUM($E$8:E17)</f>
        <v>0.982516130357659</v>
      </c>
      <c r="G17" s="102" t="str">
        <f>IF(F17&lt;=Thr_A,"A",IF(F17&lt;=Thr_B,"B","C"))</f>
        <v>C</v>
      </c>
      <c r="H17" s="101" t="n"/>
      <c r="I17" s="80">
        <f>AVERAGE(W17:AH17)</f>
        <v>43.6666666666667</v>
      </c>
      <c r="J17" s="70">
        <f>_xlfn.STDEV.P(W17:AH17)</f>
        <v>6.16891850777392</v>
      </c>
      <c r="K17" s="84">
        <f>J17/I17</f>
        <v>0.14127294292612</v>
      </c>
      <c r="L17" s="102" t="str">
        <f>IF(K17&lt;=Thr_X,"X",IF(K17&lt;=Thr_Y,"Y","Z"))</f>
        <v>Y</v>
      </c>
      <c r="M17" s="102" t="str">
        <f>G17&amp;L17</f>
        <v>CY</v>
      </c>
      <c r="N17" s="103" t="str">
        <f>INDEX($C$31:$C$39,MATCH(M17,$B$31:$B$39,0))</f>
        <v>Периодический контроль, укрупнённые партии</v>
      </c>
      <c r="Q17" s="104" t="str">
        <f>'Данные'!A16</f>
        <v>TEA-10</v>
      </c>
      <c r="R17" s="18">
        <f>SUM('Данные'!R16:AC16)*'Данные'!E16</f>
        <v>471250</v>
      </c>
      <c r="S17" s="16">
        <f>RANK(R17,$R$8:$R$19,0)+COUNTIF($R$8:R17,R17)-1</f>
        <v>8</v>
      </c>
      <c r="T17" s="105">
        <f>Thr_A</f>
        <v>0.8</v>
      </c>
      <c r="U17" s="105">
        <f>Thr_B</f>
        <v>0.95</v>
      </c>
      <c r="W17" s="106">
        <f>INDEX('Данные'!$R$7:$AC$18,MATCH($B17,SKU_Codes,0),1)</f>
        <v>42</v>
      </c>
      <c r="X17" s="106">
        <f>INDEX('Данные'!$R$7:$AC$18,MATCH($B17,SKU_Codes,0),2)</f>
        <v>44</v>
      </c>
      <c r="Y17" s="106">
        <f>INDEX('Данные'!$R$7:$AC$18,MATCH($B17,SKU_Codes,0),3)</f>
        <v>38</v>
      </c>
      <c r="Z17" s="106">
        <f>INDEX('Данные'!$R$7:$AC$18,MATCH($B17,SKU_Codes,0),4)</f>
        <v>31</v>
      </c>
      <c r="AA17" s="106">
        <f>INDEX('Данные'!$R$7:$AC$18,MATCH($B17,SKU_Codes,0),5)</f>
        <v>42</v>
      </c>
      <c r="AB17" s="106">
        <f>INDEX('Данные'!$R$7:$AC$18,MATCH($B17,SKU_Codes,0),6)</f>
        <v>40</v>
      </c>
      <c r="AC17" s="106">
        <f>INDEX('Данные'!$R$7:$AC$18,MATCH($B17,SKU_Codes,0),7)</f>
        <v>44</v>
      </c>
      <c r="AD17" s="106">
        <f>INDEX('Данные'!$R$7:$AC$18,MATCH($B17,SKU_Codes,0),8)</f>
        <v>55</v>
      </c>
      <c r="AE17" s="106">
        <f>INDEX('Данные'!$R$7:$AC$18,MATCH($B17,SKU_Codes,0),9)</f>
        <v>41</v>
      </c>
      <c r="AF17" s="106">
        <f>INDEX('Данные'!$R$7:$AC$18,MATCH($B17,SKU_Codes,0),10)</f>
        <v>51</v>
      </c>
      <c r="AG17" s="106">
        <f>INDEX('Данные'!$R$7:$AC$18,MATCH($B17,SKU_Codes,0),11)</f>
        <v>51</v>
      </c>
      <c r="AH17" s="106">
        <f>INDEX('Данные'!$R$7:$AC$18,MATCH($B17,SKU_Codes,0),12)</f>
        <v>45</v>
      </c>
    </row>
    <row r="18" ht="19" customHeight="1">
      <c r="A18" s="99" t="n">
        <v>11</v>
      </c>
      <c r="B18" s="100" t="str">
        <f>INDEX($Q$8:$Q$19,MATCH($A18,$S$8:$S$19,0))</f>
        <v>ICE-11</v>
      </c>
      <c r="C18" s="101" t="str">
        <f>INDEX(SKU_Names,MATCH($B18,SKU_Codes,0))</f>
        <v>Лёд пищевой, кубики</v>
      </c>
      <c r="D18" s="80">
        <f>INDEX($R$8:$R$19,MATCH($A18,$S$8:$S$19,0))/1000</f>
        <v>189.72</v>
      </c>
      <c r="E18" s="84">
        <f>D18/SUM($D$8:$D$19)</f>
        <v>0.00885606660938418</v>
      </c>
      <c r="F18" s="84">
        <f>SUM($E$8:E18)</f>
        <v>0.991372196967044</v>
      </c>
      <c r="G18" s="102" t="str">
        <f>IF(F18&lt;=Thr_A,"A",IF(F18&lt;=Thr_B,"B","C"))</f>
        <v>C</v>
      </c>
      <c r="H18" s="101" t="n"/>
      <c r="I18" s="80">
        <f>AVERAGE(W18:AH18)</f>
        <v>465</v>
      </c>
      <c r="J18" s="70">
        <f>_xlfn.STDEV.P(W18:AH18)</f>
        <v>289.896820725352</v>
      </c>
      <c r="K18" s="84">
        <f>J18/I18</f>
        <v>0.623434023065272</v>
      </c>
      <c r="L18" s="102" t="str">
        <f>IF(K18&lt;=Thr_X,"X",IF(K18&lt;=Thr_Y,"Y","Z"))</f>
        <v>Z</v>
      </c>
      <c r="M18" s="102" t="str">
        <f>G18&amp;L18</f>
        <v>CZ</v>
      </c>
      <c r="N18" s="103" t="str">
        <f>INDEX($C$31:$C$39,MATCH(M18,$B$31:$B$39,0))</f>
        <v>Заказ под сезон, минимум запаса вне сезона</v>
      </c>
      <c r="Q18" s="104" t="str">
        <f>'Данные'!A17</f>
        <v>ICE-11</v>
      </c>
      <c r="R18" s="18">
        <f>SUM('Данные'!R17:AC17)*'Данные'!E17</f>
        <v>189720</v>
      </c>
      <c r="S18" s="16">
        <f>RANK(R18,$R$8:$R$19,0)+COUNTIF($R$8:R18,R18)-1</f>
        <v>11</v>
      </c>
      <c r="T18" s="105">
        <f>Thr_A</f>
        <v>0.8</v>
      </c>
      <c r="U18" s="105">
        <f>Thr_B</f>
        <v>0.95</v>
      </c>
      <c r="W18" s="106">
        <f>INDEX('Данные'!$R$7:$AC$18,MATCH($B18,SKU_Codes,0),1)</f>
        <v>270</v>
      </c>
      <c r="X18" s="106">
        <f>INDEX('Данные'!$R$7:$AC$18,MATCH($B18,SKU_Codes,0),2)</f>
        <v>196</v>
      </c>
      <c r="Y18" s="106">
        <f>INDEX('Данные'!$R$7:$AC$18,MATCH($B18,SKU_Codes,0),3)</f>
        <v>182</v>
      </c>
      <c r="Z18" s="106">
        <f>INDEX('Данные'!$R$7:$AC$18,MATCH($B18,SKU_Codes,0),4)</f>
        <v>147</v>
      </c>
      <c r="AA18" s="106">
        <f>INDEX('Данные'!$R$7:$AC$18,MATCH($B18,SKU_Codes,0),5)</f>
        <v>197</v>
      </c>
      <c r="AB18" s="106">
        <f>INDEX('Данные'!$R$7:$AC$18,MATCH($B18,SKU_Codes,0),6)</f>
        <v>311</v>
      </c>
      <c r="AC18" s="106">
        <f>INDEX('Данные'!$R$7:$AC$18,MATCH($B18,SKU_Codes,0),7)</f>
        <v>421</v>
      </c>
      <c r="AD18" s="106">
        <f>INDEX('Данные'!$R$7:$AC$18,MATCH($B18,SKU_Codes,0),8)</f>
        <v>571</v>
      </c>
      <c r="AE18" s="106">
        <f>INDEX('Данные'!$R$7:$AC$18,MATCH($B18,SKU_Codes,0),9)</f>
        <v>970</v>
      </c>
      <c r="AF18" s="106">
        <f>INDEX('Данные'!$R$7:$AC$18,MATCH($B18,SKU_Codes,0),10)</f>
        <v>936</v>
      </c>
      <c r="AG18" s="106">
        <f>INDEX('Данные'!$R$7:$AC$18,MATCH($B18,SKU_Codes,0),11)</f>
        <v>813</v>
      </c>
      <c r="AH18" s="106">
        <f>INDEX('Данные'!$R$7:$AC$18,MATCH($B18,SKU_Codes,0),12)</f>
        <v>566</v>
      </c>
    </row>
    <row r="19" ht="19" customHeight="1">
      <c r="A19" s="99" t="n">
        <v>12</v>
      </c>
      <c r="B19" s="100" t="str">
        <f>INDEX($Q$8:$Q$19,MATCH($A19,$S$8:$S$19,0))</f>
        <v>SYR-06</v>
      </c>
      <c r="C19" s="101" t="str">
        <f>INDEX(SKU_Names,MATCH($B19,SKU_Codes,0))</f>
        <v>Сироп «Тыквенный пряный», 1 л</v>
      </c>
      <c r="D19" s="80">
        <f>INDEX($R$8:$R$19,MATCH($A19,$S$8:$S$19,0))/1000</f>
        <v>184.83</v>
      </c>
      <c r="E19" s="84">
        <f>D19/SUM($D$8:$D$19)</f>
        <v>0.00862780303295635</v>
      </c>
      <c r="F19" s="84">
        <f>SUM($E$8:E19)</f>
        <v>1</v>
      </c>
      <c r="G19" s="102" t="str">
        <f>IF(F19&lt;=Thr_A,"A",IF(F19&lt;=Thr_B,"B","C"))</f>
        <v>C</v>
      </c>
      <c r="H19" s="101" t="n"/>
      <c r="I19" s="80">
        <f>AVERAGE(W19:AH19)</f>
        <v>25.25</v>
      </c>
      <c r="J19" s="70">
        <f>_xlfn.STDEV.P(W19:AH19)</f>
        <v>29.1808298945272</v>
      </c>
      <c r="K19" s="84">
        <f>J19/I19</f>
        <v>1.15567643146642</v>
      </c>
      <c r="L19" s="102" t="str">
        <f>IF(K19&lt;=Thr_X,"X",IF(K19&lt;=Thr_Y,"Y","Z"))</f>
        <v>Z</v>
      </c>
      <c r="M19" s="102" t="str">
        <f>G19&amp;L19</f>
        <v>CZ</v>
      </c>
      <c r="N19" s="103" t="str">
        <f>INDEX($C$31:$C$39,MATCH(M19,$B$31:$B$39,0))</f>
        <v>Заказ под сезон, минимум запаса вне сезона</v>
      </c>
      <c r="Q19" s="104" t="str">
        <f>'Данные'!A18</f>
        <v>CHO-12</v>
      </c>
      <c r="R19" s="18">
        <f>SUM('Данные'!R18:AC18)*'Данные'!E18</f>
        <v>354200</v>
      </c>
      <c r="S19" s="16">
        <f>RANK(R19,$R$8:$R$19,0)+COUNTIF($R$8:R19,R19)-1</f>
        <v>9</v>
      </c>
      <c r="T19" s="105">
        <f>Thr_A</f>
        <v>0.8</v>
      </c>
      <c r="U19" s="105">
        <f>Thr_B</f>
        <v>0.95</v>
      </c>
      <c r="W19" s="106">
        <f>INDEX('Данные'!$R$7:$AC$18,MATCH($B19,SKU_Codes,0),1)</f>
        <v>86</v>
      </c>
      <c r="X19" s="106">
        <f>INDEX('Данные'!$R$7:$AC$18,MATCH($B19,SKU_Codes,0),2)</f>
        <v>62</v>
      </c>
      <c r="Y19" s="106">
        <f>INDEX('Данные'!$R$7:$AC$18,MATCH($B19,SKU_Codes,0),3)</f>
        <v>56</v>
      </c>
      <c r="Z19" s="106">
        <f>INDEX('Данные'!$R$7:$AC$18,MATCH($B19,SKU_Codes,0),4)</f>
        <v>13</v>
      </c>
      <c r="AA19" s="106">
        <f>INDEX('Данные'!$R$7:$AC$18,MATCH($B19,SKU_Codes,0),5)</f>
        <v>5</v>
      </c>
      <c r="AB19" s="106">
        <f>INDEX('Данные'!$R$7:$AC$18,MATCH($B19,SKU_Codes,0),6)</f>
        <v>4</v>
      </c>
      <c r="AC19" s="106">
        <f>INDEX('Данные'!$R$7:$AC$18,MATCH($B19,SKU_Codes,0),7)</f>
        <v>2</v>
      </c>
      <c r="AD19" s="106">
        <f>INDEX('Данные'!$R$7:$AC$18,MATCH($B19,SKU_Codes,0),8)</f>
        <v>2</v>
      </c>
      <c r="AE19" s="106">
        <f>INDEX('Данные'!$R$7:$AC$18,MATCH($B19,SKU_Codes,0),9)</f>
        <v>3</v>
      </c>
      <c r="AF19" s="106">
        <f>INDEX('Данные'!$R$7:$AC$18,MATCH($B19,SKU_Codes,0),10)</f>
        <v>3</v>
      </c>
      <c r="AG19" s="106">
        <f>INDEX('Данные'!$R$7:$AC$18,MATCH($B19,SKU_Codes,0),11)</f>
        <v>11</v>
      </c>
      <c r="AH19" s="106">
        <f>INDEX('Данные'!$R$7:$AC$18,MATCH($B19,SKU_Codes,0),12)</f>
        <v>56</v>
      </c>
    </row>
    <row r="20" ht="19" customHeight="1">
      <c r="A20" s="56" t="n"/>
      <c r="B20" s="56" t="inlineStr">
        <is>
          <t>Итого</t>
        </is>
      </c>
      <c r="C20" s="56" t="n"/>
      <c r="D20" s="57">
        <f>SUM(D8:D19)</f>
        <v>21422.6031</v>
      </c>
      <c r="E20" s="107">
        <f>SUM(E8:E19)</f>
        <v>1</v>
      </c>
      <c r="F20" s="56" t="n"/>
      <c r="G20" s="56" t="n"/>
      <c r="H20" s="56" t="n"/>
      <c r="I20" s="56" t="n"/>
      <c r="J20" s="56" t="n"/>
      <c r="K20" s="56" t="n"/>
      <c r="L20" s="56" t="n"/>
      <c r="M20" s="56" t="n"/>
      <c r="N20" s="56" t="n"/>
    </row>
    <row r="22" ht="22" customHeight="1">
      <c r="B22" s="67" t="inlineStr">
        <is>
          <t>Матрица ABC-XYZ: какие SKU попали в каждую группу</t>
        </is>
      </c>
    </row>
    <row r="23" ht="30" customHeight="1">
      <c r="B23" s="108" t="inlineStr">
        <is>
          <t>Стоимость ↓  ·  стабильность спроса →</t>
        </is>
      </c>
      <c r="C23" s="109" t="n"/>
      <c r="D23" s="110" t="inlineStr">
        <is>
          <t>X — стабильный (CV ≤ 10 %)</t>
        </is>
      </c>
      <c r="E23" s="109" t="n"/>
      <c r="F23" s="109" t="n"/>
      <c r="G23" s="110" t="inlineStr">
        <is>
          <t>Y — колебания (10–25 %)</t>
        </is>
      </c>
      <c r="H23" s="109" t="n"/>
      <c r="I23" s="109" t="n"/>
      <c r="J23" s="110" t="inlineStr">
        <is>
          <t>Z — нерегулярный (&gt; 25 %)</t>
        </is>
      </c>
      <c r="K23" s="109" t="n"/>
      <c r="L23" s="109" t="n"/>
      <c r="M23" s="109" t="n"/>
      <c r="N23" s="111" t="inlineStr">
        <is>
          <t>Как читать: по вертикали — вклад SKU в стоимость закупок (ABC), по горизонтали — стабильность спроса (XYZ). Левый верхний угол — ключевые стабильные позиции: их выгодно поставлять часто и держать минимальный запас; правый нижний — сезонные и нерегулярные позиции, их заказывают под сезон.</t>
        </is>
      </c>
    </row>
    <row r="24" ht="34" customHeight="1">
      <c r="B24" s="112" t="inlineStr">
        <is>
          <t>A — около 80 % стоимости</t>
        </is>
      </c>
      <c r="C24" s="109" t="n"/>
      <c r="D24" s="113" t="str">
        <f t="array" ref="D24">IF(COUNTIFS($G$8:$G$19,"A",$L$8:$L$19,"X")=0,"—",COUNTIFS($G$8:$G$19,"A",$L$8:$L$19,"X")&amp;" SKU:"&amp;CHAR(10)&amp;_xlfn.TEXTJOIN(", ",TRUE,IF($M$8:$M$19="AX",$B$8:$B$19,"")))</f>
        <v>3 SKU:
ESP-01, MLK-03, CRS-09</v>
      </c>
      <c r="E24" s="109" t="n"/>
      <c r="F24" s="109" t="n"/>
      <c r="G24" s="114" t="str">
        <f t="array" ref="G24">IF(COUNTIFS($G$8:$G$19,"A",$L$8:$L$19,"Y")=0,"—",COUNTIFS($G$8:$G$19,"A",$L$8:$L$19,"Y")&amp;" SKU:"&amp;CHAR(10)&amp;_xlfn.TEXTJOIN(", ",TRUE,IF($M$8:$M$19="AY",$B$8:$B$19,"")))</f>
        <v>1 SKU:
OAT-04</v>
      </c>
      <c r="H24" s="109" t="n"/>
      <c r="I24" s="109" t="n"/>
      <c r="J24" s="115" t="str">
        <f t="array" ref="J24">IF(COUNTIFS($G$8:$G$19,"A",$L$8:$L$19,"Z")=0,"—",COUNTIFS($G$8:$G$19,"A",$L$8:$L$19,"Z")&amp;" SKU:"&amp;CHAR(10)&amp;_xlfn.TEXTJOIN(", ",TRUE,IF($M$8:$M$19="AZ",$B$8:$B$19,"")))</f>
        <v>—</v>
      </c>
      <c r="K24" s="109" t="n"/>
      <c r="L24" s="109" t="n"/>
      <c r="M24" s="109" t="n"/>
    </row>
    <row r="25" ht="34" customHeight="1">
      <c r="B25" s="112" t="inlineStr">
        <is>
          <t>B — следующие ~15 %</t>
        </is>
      </c>
      <c r="C25" s="109" t="n"/>
      <c r="D25" s="114" t="str">
        <f t="array" ref="D25">IF(COUNTIFS($G$8:$G$19,"B",$L$8:$L$19,"X")=0,"—",COUNTIFS($G$8:$G$19,"B",$L$8:$L$19,"X")&amp;" SKU:"&amp;CHAR(10)&amp;_xlfn.TEXTJOIN(", ",TRUE,IF($M$8:$M$19="BX",$B$8:$B$19,"")))</f>
        <v>—</v>
      </c>
      <c r="E25" s="109" t="n"/>
      <c r="F25" s="109" t="n"/>
      <c r="G25" s="115" t="str">
        <f t="array" ref="G25">IF(COUNTIFS($G$8:$G$19,"B",$L$8:$L$19,"Y")=0,"—",COUNTIFS($G$8:$G$19,"B",$L$8:$L$19,"Y")&amp;" SKU:"&amp;CHAR(10)&amp;_xlfn.TEXTJOIN(", ",TRUE,IF($M$8:$M$19="BY",$B$8:$B$19,"")))</f>
        <v>3 SKU:
CUP-07, FLT-02, LID-08</v>
      </c>
      <c r="H25" s="109" t="n"/>
      <c r="I25" s="109" t="n"/>
      <c r="J25" s="116" t="str">
        <f t="array" ref="J25">IF(COUNTIFS($G$8:$G$19,"B",$L$8:$L$19,"Z")=0,"—",COUNTIFS($G$8:$G$19,"B",$L$8:$L$19,"Z")&amp;" SKU:"&amp;CHAR(10)&amp;_xlfn.TEXTJOIN(", ",TRUE,IF($M$8:$M$19="BZ",$B$8:$B$19,"")))</f>
        <v>—</v>
      </c>
      <c r="K25" s="109" t="n"/>
      <c r="L25" s="109" t="n"/>
      <c r="M25" s="109" t="n"/>
    </row>
    <row r="26" ht="34" customHeight="1">
      <c r="B26" s="112" t="inlineStr">
        <is>
          <t>C — оставшиеся ~5 %</t>
        </is>
      </c>
      <c r="C26" s="109" t="n"/>
      <c r="D26" s="115" t="str">
        <f t="array" ref="D26">IF(COUNTIFS($G$8:$G$19,"C",$L$8:$L$19,"X")=0,"—",COUNTIFS($G$8:$G$19,"C",$L$8:$L$19,"X")&amp;" SKU:"&amp;CHAR(10)&amp;_xlfn.TEXTJOIN(", ",TRUE,IF($M$8:$M$19="CX",$B$8:$B$19,"")))</f>
        <v>—</v>
      </c>
      <c r="E26" s="109" t="n"/>
      <c r="F26" s="109" t="n"/>
      <c r="G26" s="116" t="str">
        <f t="array" ref="G26">IF(COUNTIFS($G$8:$G$19,"C",$L$8:$L$19,"Y")=0,"—",COUNTIFS($G$8:$G$19,"C",$L$8:$L$19,"Y")&amp;" SKU:"&amp;CHAR(10)&amp;_xlfn.TEXTJOIN(", ",TRUE,IF($M$8:$M$19="CY",$B$8:$B$19,"")))</f>
        <v>1 SKU:
SYR-05</v>
      </c>
      <c r="H26" s="109" t="n"/>
      <c r="I26" s="109" t="n"/>
      <c r="J26" s="116" t="str">
        <f t="array" ref="J26">IF(COUNTIFS($G$8:$G$19,"C",$L$8:$L$19,"Z")=0,"—",COUNTIFS($G$8:$G$19,"C",$L$8:$L$19,"Z")&amp;" SKU:"&amp;CHAR(10)&amp;_xlfn.TEXTJOIN(", ",TRUE,IF($M$8:$M$19="CZ",$B$8:$B$19,"")))</f>
        <v>4 SKU:
TEA-10, CHO-12, ICE-11, SYR-06</v>
      </c>
      <c r="K26" s="109" t="n"/>
      <c r="L26" s="109" t="n"/>
      <c r="M26" s="109" t="n"/>
    </row>
    <row r="29" ht="22" customHeight="1">
      <c r="B29" s="67" t="inlineStr">
        <is>
          <t>Справочник стратегий (редактируемый)</t>
        </is>
      </c>
    </row>
    <row r="30" ht="18" customHeight="1">
      <c r="B30" s="41" t="inlineStr">
        <is>
          <t>Класс</t>
        </is>
      </c>
      <c r="C30" s="68" t="inlineStr">
        <is>
          <t>Стратегия управления запасом</t>
        </is>
      </c>
      <c r="D30" s="41" t="n"/>
      <c r="E30" s="41" t="n"/>
      <c r="F30" s="41" t="n"/>
      <c r="G30" s="41" t="n"/>
      <c r="H30" s="41" t="n"/>
      <c r="I30" s="41" t="n"/>
      <c r="J30" s="41" t="n"/>
      <c r="K30" s="41" t="n"/>
      <c r="L30" s="41" t="n"/>
      <c r="M30" s="41" t="n"/>
      <c r="N30" s="41" t="n"/>
    </row>
    <row r="31" ht="16" customHeight="1">
      <c r="B31" s="117" t="inlineStr">
        <is>
          <t>AX</t>
        </is>
      </c>
      <c r="C31" s="118" t="inlineStr">
        <is>
          <t>Постоянное наличие, частые поставки, минимальный запас</t>
        </is>
      </c>
      <c r="D31" s="49" t="n"/>
      <c r="E31" s="49" t="n"/>
      <c r="F31" s="49" t="n"/>
      <c r="G31" s="49" t="n"/>
      <c r="H31" s="49" t="n"/>
      <c r="I31" s="49" t="n"/>
      <c r="J31" s="49" t="n"/>
      <c r="K31" s="49" t="n"/>
      <c r="L31" s="49" t="n"/>
      <c r="M31" s="49" t="n"/>
      <c r="N31" s="49" t="n"/>
    </row>
    <row r="32" ht="16" customHeight="1">
      <c r="B32" s="117" t="inlineStr">
        <is>
          <t>AY</t>
        </is>
      </c>
      <c r="C32" s="118" t="inlineStr">
        <is>
          <t>Регулярный контроль, запас с учётом сезонности</t>
        </is>
      </c>
      <c r="D32" s="49" t="n"/>
      <c r="E32" s="49" t="n"/>
      <c r="F32" s="49" t="n"/>
      <c r="G32" s="49" t="n"/>
      <c r="H32" s="49" t="n"/>
      <c r="I32" s="49" t="n"/>
      <c r="J32" s="49" t="n"/>
      <c r="K32" s="49" t="n"/>
      <c r="L32" s="49" t="n"/>
      <c r="M32" s="49" t="n"/>
      <c r="N32" s="49" t="n"/>
    </row>
    <row r="33" ht="16" customHeight="1">
      <c r="B33" s="117" t="inlineStr">
        <is>
          <t>AZ</t>
        </is>
      </c>
      <c r="C33" s="118" t="inlineStr">
        <is>
          <t>Индивидуальный контроль, заказ строго под прогноз</t>
        </is>
      </c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</row>
    <row r="34" ht="16" customHeight="1">
      <c r="B34" s="117" t="inlineStr">
        <is>
          <t>BX</t>
        </is>
      </c>
      <c r="C34" s="118" t="inlineStr">
        <is>
          <t>Поставки по графику, стандартный страховой запас</t>
        </is>
      </c>
      <c r="D34" s="49" t="n"/>
      <c r="E34" s="49" t="n"/>
      <c r="F34" s="49" t="n"/>
      <c r="G34" s="49" t="n"/>
      <c r="H34" s="49" t="n"/>
      <c r="I34" s="49" t="n"/>
      <c r="J34" s="49" t="n"/>
      <c r="K34" s="49" t="n"/>
      <c r="L34" s="49" t="n"/>
      <c r="M34" s="49" t="n"/>
      <c r="N34" s="49" t="n"/>
    </row>
    <row r="35" ht="16" customHeight="1">
      <c r="B35" s="117" t="inlineStr">
        <is>
          <t>BY</t>
        </is>
      </c>
      <c r="C35" s="118" t="inlineStr">
        <is>
          <t>Плановые поставки, умеренный страховой запас</t>
        </is>
      </c>
      <c r="D35" s="49" t="n"/>
      <c r="E35" s="49" t="n"/>
      <c r="F35" s="49" t="n"/>
      <c r="G35" s="49" t="n"/>
      <c r="H35" s="49" t="n"/>
      <c r="I35" s="49" t="n"/>
      <c r="J35" s="49" t="n"/>
      <c r="K35" s="49" t="n"/>
      <c r="L35" s="49" t="n"/>
      <c r="M35" s="49" t="n"/>
      <c r="N35" s="49" t="n"/>
    </row>
    <row r="36" ht="16" customHeight="1">
      <c r="B36" s="117" t="inlineStr">
        <is>
          <t>BZ</t>
        </is>
      </c>
      <c r="C36" s="118" t="inlineStr">
        <is>
          <t>Заказ под прогноз, повышенный страховой запас</t>
        </is>
      </c>
      <c r="D36" s="49" t="n"/>
      <c r="E36" s="49" t="n"/>
      <c r="F36" s="49" t="n"/>
      <c r="G36" s="49" t="n"/>
      <c r="H36" s="49" t="n"/>
      <c r="I36" s="49" t="n"/>
      <c r="J36" s="49" t="n"/>
      <c r="K36" s="49" t="n"/>
      <c r="L36" s="49" t="n"/>
      <c r="M36" s="49" t="n"/>
      <c r="N36" s="49" t="n"/>
    </row>
    <row r="37" ht="16" customHeight="1">
      <c r="B37" s="117" t="inlineStr">
        <is>
          <t>CX</t>
        </is>
      </c>
      <c r="C37" s="118" t="inlineStr">
        <is>
          <t>Редкие крупные поставки по точке заказа</t>
        </is>
      </c>
      <c r="D37" s="49" t="n"/>
      <c r="E37" s="49" t="n"/>
      <c r="F37" s="49" t="n"/>
      <c r="G37" s="49" t="n"/>
      <c r="H37" s="49" t="n"/>
      <c r="I37" s="49" t="n"/>
      <c r="J37" s="49" t="n"/>
      <c r="K37" s="49" t="n"/>
      <c r="L37" s="49" t="n"/>
      <c r="M37" s="49" t="n"/>
      <c r="N37" s="49" t="n"/>
    </row>
    <row r="38" ht="16" customHeight="1">
      <c r="B38" s="117" t="inlineStr">
        <is>
          <t>CY</t>
        </is>
      </c>
      <c r="C38" s="118" t="inlineStr">
        <is>
          <t>Периодический контроль, укрупнённые партии</t>
        </is>
      </c>
      <c r="D38" s="49" t="n"/>
      <c r="E38" s="49" t="n"/>
      <c r="F38" s="49" t="n"/>
      <c r="G38" s="49" t="n"/>
      <c r="H38" s="49" t="n"/>
      <c r="I38" s="49" t="n"/>
      <c r="J38" s="49" t="n"/>
      <c r="K38" s="49" t="n"/>
      <c r="L38" s="49" t="n"/>
      <c r="M38" s="49" t="n"/>
      <c r="N38" s="49" t="n"/>
    </row>
    <row r="39" ht="16" customHeight="1">
      <c r="B39" s="117" t="inlineStr">
        <is>
          <t>CZ</t>
        </is>
      </c>
      <c r="C39" s="118" t="inlineStr">
        <is>
          <t>Заказ под сезон, минимум запаса вне сезона</t>
        </is>
      </c>
      <c r="D39" s="49" t="n"/>
      <c r="E39" s="49" t="n"/>
      <c r="F39" s="49" t="n"/>
      <c r="G39" s="49" t="n"/>
      <c r="H39" s="49" t="n"/>
      <c r="I39" s="49" t="n"/>
      <c r="J39" s="49" t="n"/>
      <c r="K39" s="49" t="n"/>
      <c r="L39" s="49" t="n"/>
      <c r="M39" s="49" t="n"/>
      <c r="N39" s="49" t="n"/>
    </row>
  </sheetData>
  <mergeCells count="27">
    <mergeCell ref="B25:C25"/>
    <mergeCell ref="C31:N31"/>
    <mergeCell ref="G24:I24"/>
    <mergeCell ref="J23:M23"/>
    <mergeCell ref="C36:N36"/>
    <mergeCell ref="B23:C23"/>
    <mergeCell ref="C39:N39"/>
    <mergeCell ref="G26:I26"/>
    <mergeCell ref="D25:F25"/>
    <mergeCell ref="G25:I25"/>
    <mergeCell ref="D24:F24"/>
    <mergeCell ref="N23:N26"/>
    <mergeCell ref="C32:N32"/>
    <mergeCell ref="C38:N38"/>
    <mergeCell ref="D23:F23"/>
    <mergeCell ref="C37:N37"/>
    <mergeCell ref="D26:F26"/>
    <mergeCell ref="J24:M24"/>
    <mergeCell ref="C30:N30"/>
    <mergeCell ref="C34:N34"/>
    <mergeCell ref="B24:C24"/>
    <mergeCell ref="C33:N33"/>
    <mergeCell ref="J26:M26"/>
    <mergeCell ref="G23:I23"/>
    <mergeCell ref="B26:C26"/>
    <mergeCell ref="J25:M25"/>
    <mergeCell ref="C35:N35"/>
  </mergeCells>
  <conditionalFormatting sqref="G8:G19">
    <cfRule type="cellIs" priority="1" operator="equal" dxfId="3">
      <formula>"A"</formula>
    </cfRule>
    <cfRule type="cellIs" priority="2" operator="equal" dxfId="4">
      <formula>"B"</formula>
    </cfRule>
    <cfRule type="cellIs" priority="3" operator="equal" dxfId="5">
      <formula>"C"</formula>
    </cfRule>
  </conditionalFormatting>
  <conditionalFormatting sqref="L8:L19">
    <cfRule type="cellIs" priority="4" operator="equal" dxfId="3">
      <formula>"X"</formula>
    </cfRule>
    <cfRule type="cellIs" priority="5" operator="equal" dxfId="4">
      <formula>"Y"</formula>
    </cfRule>
    <cfRule type="cellIs" priority="6" operator="equal" dxfId="5">
      <formula>"Z"</formula>
    </cfRule>
  </conditionalFormatting>
  <conditionalFormatting sqref="D24:M26">
    <cfRule type="expression" priority="7" dxfId="6">
      <formula>D24="—"</formula>
    </cfRule>
  </conditionalFormatting>
  <printOptions horizontalCentered="1" headings="0"/>
  <pageMargins left="0.25" right="0.25" top="0.25" bottom="0.25" header="0" footer="0"/>
  <pageSetup orientation="landscape" paperSize="9" fitToHeight="1" fitToWidth="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minAxisType="custom" manualMin="0">
          <x14:colorSeries rgb="FF6DA7EC"/>
          <x14:colorNegative rgb="FFB42318"/>
          <x14:colorAxis rgb="FF000000"/>
          <x14:colorMarkers rgb="FF6DA7EC"/>
          <x14:colorFirst rgb="FF6DA7EC"/>
          <x14:colorLast rgb="FF6DA7EC"/>
          <x14:colorHigh rgb="FF6DA7EC"/>
          <x14:colorLow rgb="FF6DA7EC"/>
          <x14:sparklines>
            <x14:sparkline>
              <xm:f>'ABC-XYZ'!W8:AH8</xm:f>
              <xm:sqref>H8</xm:sqref>
            </x14:sparkline>
            <x14:sparkline>
              <xm:f>'ABC-XYZ'!W9:AH9</xm:f>
              <xm:sqref>H9</xm:sqref>
            </x14:sparkline>
            <x14:sparkline>
              <xm:f>'ABC-XYZ'!W10:AH10</xm:f>
              <xm:sqref>H10</xm:sqref>
            </x14:sparkline>
            <x14:sparkline>
              <xm:f>'ABC-XYZ'!W11:AH11</xm:f>
              <xm:sqref>H11</xm:sqref>
            </x14:sparkline>
            <x14:sparkline>
              <xm:f>'ABC-XYZ'!W12:AH12</xm:f>
              <xm:sqref>H12</xm:sqref>
            </x14:sparkline>
            <x14:sparkline>
              <xm:f>'ABC-XYZ'!W13:AH13</xm:f>
              <xm:sqref>H13</xm:sqref>
            </x14:sparkline>
            <x14:sparkline>
              <xm:f>'ABC-XYZ'!W14:AH14</xm:f>
              <xm:sqref>H14</xm:sqref>
            </x14:sparkline>
            <x14:sparkline>
              <xm:f>'ABC-XYZ'!W15:AH15</xm:f>
              <xm:sqref>H15</xm:sqref>
            </x14:sparkline>
            <x14:sparkline>
              <xm:f>'ABC-XYZ'!W16:AH16</xm:f>
              <xm:sqref>H16</xm:sqref>
            </x14:sparkline>
            <x14:sparkline>
              <xm:f>'ABC-XYZ'!W17:AH17</xm:f>
              <xm:sqref>H17</xm:sqref>
            </x14:sparkline>
            <x14:sparkline>
              <xm:f>'ABC-XYZ'!W18:AH18</xm:f>
              <xm:sqref>H18</xm:sqref>
            </x14:sparkline>
            <x14:sparkline>
              <xm:f>'ABC-XYZ'!W19:AH19</xm:f>
              <xm:sqref>H19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>
  <sheetPr>
    <tabColor rgb="002A78D6"/>
    <outlinePr summaryBelow="1" summaryRight="1"/>
    <pageSetUpPr fitToPage="1"/>
  </sheetPr>
  <dimension ref="A1:V21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3" customWidth="1" min="2" max="2"/>
    <col width="6" customWidth="1" min="3" max="3"/>
    <col width="7.5" customWidth="1" min="4" max="4"/>
    <col width="9" customWidth="1" min="5" max="5"/>
    <col width="9" customWidth="1" min="6" max="6"/>
    <col width="9.5" customWidth="1" min="7" max="7"/>
    <col width="9" customWidth="1" min="8" max="8"/>
    <col width="7" customWidth="1" min="9" max="9"/>
    <col width="10" customWidth="1" min="10" max="10"/>
    <col width="10" customWidth="1" min="11" max="11"/>
    <col width="10" customWidth="1" min="12" max="12"/>
    <col width="10.5" customWidth="1" min="13" max="13"/>
    <col width="10" customWidth="1" min="14" max="14"/>
    <col width="12.8" customWidth="1" min="15" max="15"/>
    <col width="10" customWidth="1" min="16" max="16"/>
    <col width="9" customWidth="1" min="17" max="17"/>
    <col width="10" customWidth="1" min="18" max="18"/>
    <col width="9" customWidth="1" min="19" max="19"/>
    <col width="11" customWidth="1" min="20" max="20"/>
    <col width="14.2" customWidth="1" min="21" max="21"/>
    <col width="12" customWidth="1" min="22" max="22"/>
  </cols>
  <sheetData>
    <row r="1" ht="26" customHeight="1">
      <c r="A1" s="36" t="inlineStr">
        <is>
          <t>Страховой запас, точка заказа и рекомендуемый заказ</t>
        </is>
      </c>
    </row>
    <row r="2" ht="17" customHeight="1">
      <c r="A2" s="37" t="inlineStr">
        <is>
          <t>Страховой запас = z · σ · √(LT ÷ 30), где z = НОРМ.СТ.ОБР(уровень сервиса), σ — СКО ошибки прогноза, ед./мес., LT — срок поставки, дн. · остатки на 01.10.2026</t>
        </is>
      </c>
    </row>
    <row r="3" ht="15" customHeight="1">
      <c r="A3" s="38" t="inlineStr">
        <is>
          <r>
            <rPr>
              <rFont val="Calibri"/>
              <color rgb="00898781"/>
              <sz val="9"/>
            </rPr>
            <t xml:space="preserve">Обозначения:  </t>
          </r>
          <r>
            <rPr>
              <rFont val="Calibri"/>
              <b val="1"/>
              <color rgb="000000FF"/>
              <sz val="9"/>
            </rPr>
            <t>синий</t>
          </r>
          <r>
            <rPr>
              <rFont val="Calibri"/>
              <color rgb="00898781"/>
              <sz val="9"/>
            </rPr>
            <t xml:space="preserve"> — исходные данные и параметры (ввод),  </t>
          </r>
          <r>
            <rPr>
              <rFont val="Calibri"/>
              <b val="1"/>
              <color rgb="001F2328"/>
              <sz val="9"/>
            </rPr>
            <t>чёрный</t>
          </r>
          <r>
            <rPr>
              <rFont val="Calibri"/>
              <color rgb="00898781"/>
              <sz val="9"/>
            </rPr>
            <t xml:space="preserve"> — формулы,  </t>
          </r>
          <r>
            <rPr>
              <rFont val="Calibri"/>
              <b val="1"/>
              <color rgb="00008000"/>
              <sz val="9"/>
            </rPr>
            <t>зелёный</t>
          </r>
          <r>
            <rPr>
              <rFont val="Calibri"/>
              <color rgb="00898781"/>
              <sz val="9"/>
            </rPr>
            <t xml:space="preserve"> — ссылки на другие листы,  жёлтая заливка — ячейки для ввода</t>
          </r>
        </is>
      </c>
    </row>
    <row r="4">
      <c r="B4" s="94" t="inlineStr">
        <is>
          <t>Целевой уровень сервиса по классу ABC</t>
        </is>
      </c>
      <c r="C4" s="119" t="inlineStr">
        <is>
          <t>A</t>
        </is>
      </c>
      <c r="D4" s="120" t="n">
        <v>0.98</v>
      </c>
      <c r="E4" s="119" t="inlineStr">
        <is>
          <t>B</t>
        </is>
      </c>
      <c r="F4" s="120" t="n">
        <v>0.95</v>
      </c>
      <c r="G4" s="119" t="inlineStr">
        <is>
          <t>C</t>
        </is>
      </c>
      <c r="H4" s="120" t="n">
        <v>0.9</v>
      </c>
    </row>
    <row r="6" ht="44" customHeight="1">
      <c r="A6" s="41" t="inlineStr">
        <is>
          <t>Код</t>
        </is>
      </c>
      <c r="B6" s="68" t="inlineStr">
        <is>
          <t>Наименование</t>
        </is>
      </c>
      <c r="C6" s="41" t="inlineStr">
        <is>
          <t>Ед.</t>
        </is>
      </c>
      <c r="D6" s="41" t="inlineStr">
        <is>
          <t>Класс ABC-XYZ</t>
        </is>
      </c>
      <c r="E6" s="41" t="inlineStr">
        <is>
          <t>Срок поставки (LT), дн.</t>
        </is>
      </c>
      <c r="F6" s="41" t="inlineStr">
        <is>
          <t>Период заказа, дн.</t>
        </is>
      </c>
      <c r="G6" s="41" t="inlineStr">
        <is>
          <t>Кратность заказа, ед.</t>
        </is>
      </c>
      <c r="H6" s="41" t="inlineStr">
        <is>
          <t>Уровень сервиса</t>
        </is>
      </c>
      <c r="I6" s="41" t="inlineStr">
        <is>
          <t>z</t>
        </is>
      </c>
      <c r="J6" s="41" t="inlineStr">
        <is>
          <t>Прогноз спроса, ед./мес.</t>
        </is>
      </c>
      <c r="K6" s="41" t="inlineStr">
        <is>
          <t>σ ошибки прогноза, ед./мес.</t>
        </is>
      </c>
      <c r="L6" s="41" t="inlineStr">
        <is>
          <t>Страховой запас, ед.</t>
        </is>
      </c>
      <c r="M6" s="41" t="inlineStr">
        <is>
          <t>Спрос за срок поставки, ед.</t>
        </is>
      </c>
      <c r="N6" s="41" t="inlineStr">
        <is>
          <t>Точка заказа, ед.</t>
        </is>
      </c>
      <c r="O6" s="41" t="inlineStr">
        <is>
          <t>Максимальный запас, ед.</t>
        </is>
      </c>
      <c r="P6" s="41" t="inlineStr">
        <is>
          <t>Остаток на складе, ед.</t>
        </is>
      </c>
      <c r="Q6" s="41" t="inlineStr">
        <is>
          <t>В пути, ед.</t>
        </is>
      </c>
      <c r="R6" s="41" t="inlineStr">
        <is>
          <t>Позиция запаса, ед.</t>
        </is>
      </c>
      <c r="S6" s="41" t="inlineStr">
        <is>
          <t>Покрытие, дн.</t>
        </is>
      </c>
      <c r="T6" s="41" t="inlineStr">
        <is>
          <t>Статус</t>
        </is>
      </c>
      <c r="U6" s="41" t="inlineStr">
        <is>
          <t>Рекомендуемый заказ, ед.</t>
        </is>
      </c>
      <c r="V6" s="41" t="inlineStr">
        <is>
          <t>Сумма заказа, ₽</t>
        </is>
      </c>
    </row>
    <row r="7" ht="17" customHeight="1">
      <c r="A7" s="60" t="str">
        <f>'Данные'!A7</f>
        <v>ESP-01</v>
      </c>
      <c r="B7" s="61" t="str">
        <f>'Данные'!B7</f>
        <v>Зерно «Эспрессо-бленд»</v>
      </c>
      <c r="C7" s="62" t="str">
        <f>'Данные'!D7</f>
        <v>кг</v>
      </c>
      <c r="D7" s="121" t="str">
        <f>INDEX('ABC-XYZ'!$M$8:$M$19,MATCH(A7,'ABC-XYZ'!$B$8:$B$19,0))</f>
        <v>AX</v>
      </c>
      <c r="E7" s="122" t="n">
        <v>10</v>
      </c>
      <c r="F7" s="122" t="n">
        <v>14</v>
      </c>
      <c r="G7" s="122" t="n">
        <v>5</v>
      </c>
      <c r="H7" s="84">
        <f>IF(LEFT(D7,1)="A",SL_A,IF(LEFT(D7,1)="B",SL_B,SL_C))</f>
        <v>0.98</v>
      </c>
      <c r="I7" s="63">
        <f>_xlfn.NORM.S.INV(H7)</f>
        <v>2.05374891063182</v>
      </c>
      <c r="J7" s="123">
        <f>'Прогноз'!D7</f>
        <v>419.790124109452</v>
      </c>
      <c r="K7" s="124">
        <f>'Прогноз'!U7</f>
        <v>7.41157627946307</v>
      </c>
      <c r="L7" s="80">
        <f>I7*K7*SQRT(E7/30)</f>
        <v>8.78814676999978</v>
      </c>
      <c r="M7" s="80">
        <f>J7*E7/30</f>
        <v>139.930041369817</v>
      </c>
      <c r="N7" s="81">
        <f>L7+M7</f>
        <v>148.718188139817</v>
      </c>
      <c r="O7" s="80">
        <f>N7+J7*F7/30</f>
        <v>344.620246057562</v>
      </c>
      <c r="P7" s="122" t="n">
        <v>122</v>
      </c>
      <c r="Q7" s="122" t="n">
        <v>0</v>
      </c>
      <c r="R7" s="80">
        <f>P7+Q7</f>
        <v>122</v>
      </c>
      <c r="S7" s="125">
        <f>R7/(J7/30)</f>
        <v>8.71864245916782</v>
      </c>
      <c r="T7" s="64" t="str">
        <f>IF(R7&lt;=N7,"Заказать","Норма")</f>
        <v>Заказать</v>
      </c>
      <c r="U7" s="81">
        <f>IF(R7&lt;=N7,ROUNDUP((O7-R7)/G7,0)*G7,0)</f>
        <v>225</v>
      </c>
      <c r="V7" s="80">
        <f>U7*'Данные'!E7</f>
        <v>378000</v>
      </c>
    </row>
    <row r="8" ht="17" customHeight="1">
      <c r="A8" s="72" t="str">
        <f>'Данные'!A8</f>
        <v>FLT-02</v>
      </c>
      <c r="B8" s="73" t="str">
        <f>'Данные'!B8</f>
        <v>Зерно «Эфиопия Иргачеффе», фильтр</v>
      </c>
      <c r="C8" s="74" t="str">
        <f>'Данные'!D8</f>
        <v>кг</v>
      </c>
      <c r="D8" s="126" t="str">
        <f>INDEX('ABC-XYZ'!$M$8:$M$19,MATCH(A8,'ABC-XYZ'!$B$8:$B$19,0))</f>
        <v>BY</v>
      </c>
      <c r="E8" s="122" t="n">
        <v>10</v>
      </c>
      <c r="F8" s="122" t="n">
        <v>14</v>
      </c>
      <c r="G8" s="122" t="n">
        <v>1</v>
      </c>
      <c r="H8" s="90">
        <f>IF(LEFT(D8,1)="A",SL_A,IF(LEFT(D8,1)="B",SL_B,SL_C))</f>
        <v>0.95</v>
      </c>
      <c r="I8" s="127">
        <f>_xlfn.NORM.S.INV(H8)</f>
        <v>1.64485362695147</v>
      </c>
      <c r="J8" s="128">
        <f>'Прогноз'!D8</f>
        <v>46.6377764498922</v>
      </c>
      <c r="K8" s="129">
        <f>'Прогноз'!U8</f>
        <v>2.07293574143403</v>
      </c>
      <c r="L8" s="86">
        <f>I8*K8*SQRT(E8/30)</f>
        <v>1.96857728297299</v>
      </c>
      <c r="M8" s="86">
        <f>J8*E8/30</f>
        <v>15.5459254832974</v>
      </c>
      <c r="N8" s="87">
        <f>L8+M8</f>
        <v>17.5145027662704</v>
      </c>
      <c r="O8" s="86">
        <f>N8+J8*F8/30</f>
        <v>39.2787984428868</v>
      </c>
      <c r="P8" s="122" t="n">
        <v>25</v>
      </c>
      <c r="Q8" s="122" t="n">
        <v>0</v>
      </c>
      <c r="R8" s="86">
        <f>P8+Q8</f>
        <v>25</v>
      </c>
      <c r="S8" s="130">
        <f>R8/(J8/30)</f>
        <v>16.0813841716018</v>
      </c>
      <c r="T8" s="131" t="str">
        <f>IF(R8&lt;=N8,"Заказать","Норма")</f>
        <v>Норма</v>
      </c>
      <c r="U8" s="87">
        <f>IF(R8&lt;=N8,ROUNDUP((O8-R8)/G8,0)*G8,0)</f>
        <v>0</v>
      </c>
      <c r="V8" s="86">
        <f>U8*'Данные'!E8</f>
        <v>0</v>
      </c>
    </row>
    <row r="9" ht="17" customHeight="1">
      <c r="A9" s="60" t="str">
        <f>'Данные'!A9</f>
        <v>MLK-03</v>
      </c>
      <c r="B9" s="61" t="str">
        <f>'Данные'!B9</f>
        <v>Молоко 3,2 %</v>
      </c>
      <c r="C9" s="62" t="str">
        <f>'Данные'!D9</f>
        <v>л</v>
      </c>
      <c r="D9" s="121" t="str">
        <f>INDEX('ABC-XYZ'!$M$8:$M$19,MATCH(A9,'ABC-XYZ'!$B$8:$B$19,0))</f>
        <v>AX</v>
      </c>
      <c r="E9" s="122" t="n">
        <v>2</v>
      </c>
      <c r="F9" s="122" t="n">
        <v>3</v>
      </c>
      <c r="G9" s="122" t="n">
        <v>12</v>
      </c>
      <c r="H9" s="84">
        <f>IF(LEFT(D9,1)="A",SL_A,IF(LEFT(D9,1)="B",SL_B,SL_C))</f>
        <v>0.98</v>
      </c>
      <c r="I9" s="63">
        <f>_xlfn.NORM.S.INV(H9)</f>
        <v>2.05374891063182</v>
      </c>
      <c r="J9" s="123">
        <f>'Прогноз'!D9</f>
        <v>3745.04725981123</v>
      </c>
      <c r="K9" s="124">
        <f>'Прогноз'!U9</f>
        <v>112.645716978236</v>
      </c>
      <c r="L9" s="80">
        <f>I9*K9*SQRT(E9/30)</f>
        <v>59.7332851322316</v>
      </c>
      <c r="M9" s="80">
        <f>J9*E9/30</f>
        <v>249.669817320749</v>
      </c>
      <c r="N9" s="81">
        <f>L9+M9</f>
        <v>309.40310245298</v>
      </c>
      <c r="O9" s="80">
        <f>N9+J9*F9/30</f>
        <v>683.907828434103</v>
      </c>
      <c r="P9" s="122" t="n">
        <v>229</v>
      </c>
      <c r="Q9" s="122" t="n">
        <v>0</v>
      </c>
      <c r="R9" s="80">
        <f>P9+Q9</f>
        <v>229</v>
      </c>
      <c r="S9" s="125">
        <f>R9/(J9/30)</f>
        <v>1.83442277851156</v>
      </c>
      <c r="T9" s="64" t="str">
        <f>IF(R9&lt;=N9,"Заказать","Норма")</f>
        <v>Заказать</v>
      </c>
      <c r="U9" s="81">
        <f>IF(R9&lt;=N9,ROUNDUP((O9-R9)/G9,0)*G9,0)</f>
        <v>456</v>
      </c>
      <c r="V9" s="80">
        <f>U9*'Данные'!E9</f>
        <v>41952</v>
      </c>
    </row>
    <row r="10" ht="17" customHeight="1">
      <c r="A10" s="72" t="str">
        <f>'Данные'!A10</f>
        <v>OAT-04</v>
      </c>
      <c r="B10" s="73" t="str">
        <f>'Данные'!B10</f>
        <v>Напиток овсяный «Бариста»</v>
      </c>
      <c r="C10" s="74" t="str">
        <f>'Данные'!D10</f>
        <v>л</v>
      </c>
      <c r="D10" s="126" t="str">
        <f>INDEX('ABC-XYZ'!$M$8:$M$19,MATCH(A10,'ABC-XYZ'!$B$8:$B$19,0))</f>
        <v>AY</v>
      </c>
      <c r="E10" s="122" t="n">
        <v>7</v>
      </c>
      <c r="F10" s="122" t="n">
        <v>7</v>
      </c>
      <c r="G10" s="122" t="n">
        <v>12</v>
      </c>
      <c r="H10" s="90">
        <f>IF(LEFT(D10,1)="A",SL_A,IF(LEFT(D10,1)="B",SL_B,SL_C))</f>
        <v>0.98</v>
      </c>
      <c r="I10" s="127">
        <f>_xlfn.NORM.S.INV(H10)</f>
        <v>2.05374891063182</v>
      </c>
      <c r="J10" s="128">
        <f>'Прогноз'!D10</f>
        <v>688.709012139269</v>
      </c>
      <c r="K10" s="129">
        <f>'Прогноз'!U10</f>
        <v>23.4455894198866</v>
      </c>
      <c r="L10" s="86">
        <f>I10*K10*SQRT(E10/30)</f>
        <v>23.2593135914517</v>
      </c>
      <c r="M10" s="86">
        <f>J10*E10/30</f>
        <v>160.698769499163</v>
      </c>
      <c r="N10" s="87">
        <f>L10+M10</f>
        <v>183.958083090614</v>
      </c>
      <c r="O10" s="86">
        <f>N10+J10*F10/30</f>
        <v>344.656852589777</v>
      </c>
      <c r="P10" s="122" t="n">
        <v>175</v>
      </c>
      <c r="Q10" s="122" t="n">
        <v>168</v>
      </c>
      <c r="R10" s="86">
        <f>P10+Q10</f>
        <v>343</v>
      </c>
      <c r="S10" s="130">
        <f>R10/(J10/30)</f>
        <v>14.9409980392694</v>
      </c>
      <c r="T10" s="131" t="str">
        <f>IF(R10&lt;=N10,"Заказать","Норма")</f>
        <v>Норма</v>
      </c>
      <c r="U10" s="87">
        <f>IF(R10&lt;=N10,ROUNDUP((O10-R10)/G10,0)*G10,0)</f>
        <v>0</v>
      </c>
      <c r="V10" s="86">
        <f>U10*'Данные'!E10</f>
        <v>0</v>
      </c>
    </row>
    <row r="11" ht="17" customHeight="1">
      <c r="A11" s="60" t="str">
        <f>'Данные'!A11</f>
        <v>SYR-05</v>
      </c>
      <c r="B11" s="61" t="str">
        <f>'Данные'!B11</f>
        <v>Сироп «Ваниль», 1 л</v>
      </c>
      <c r="C11" s="62" t="str">
        <f>'Данные'!D11</f>
        <v>бут.</v>
      </c>
      <c r="D11" s="121" t="str">
        <f>INDEX('ABC-XYZ'!$M$8:$M$19,MATCH(A11,'ABC-XYZ'!$B$8:$B$19,0))</f>
        <v>CY</v>
      </c>
      <c r="E11" s="122" t="n">
        <v>14</v>
      </c>
      <c r="F11" s="122" t="n">
        <v>14</v>
      </c>
      <c r="G11" s="122" t="n">
        <v>6</v>
      </c>
      <c r="H11" s="84">
        <f>IF(LEFT(D11,1)="A",SL_A,IF(LEFT(D11,1)="B",SL_B,SL_C))</f>
        <v>0.9</v>
      </c>
      <c r="I11" s="63">
        <f>_xlfn.NORM.S.INV(H11)</f>
        <v>1.2815515655446</v>
      </c>
      <c r="J11" s="123">
        <f>'Прогноз'!D11</f>
        <v>43.1933818332193</v>
      </c>
      <c r="K11" s="124">
        <f>'Прогноз'!U11</f>
        <v>3.11807099402527</v>
      </c>
      <c r="L11" s="80">
        <f>I11*K11*SQRT(E11/30)</f>
        <v>2.72976634571412</v>
      </c>
      <c r="M11" s="80">
        <f>J11*E11/30</f>
        <v>20.156911522169</v>
      </c>
      <c r="N11" s="81">
        <f>L11+M11</f>
        <v>22.8866778678831</v>
      </c>
      <c r="O11" s="80">
        <f>N11+J11*F11/30</f>
        <v>43.0435893900521</v>
      </c>
      <c r="P11" s="122" t="n">
        <v>37</v>
      </c>
      <c r="Q11" s="122" t="n">
        <v>0</v>
      </c>
      <c r="R11" s="80">
        <f>P11+Q11</f>
        <v>37</v>
      </c>
      <c r="S11" s="125">
        <f>R11/(J11/30)</f>
        <v>25.6983813929179</v>
      </c>
      <c r="T11" s="64" t="str">
        <f>IF(R11&lt;=N11,"Заказать","Норма")</f>
        <v>Норма</v>
      </c>
      <c r="U11" s="81">
        <f>IF(R11&lt;=N11,ROUNDUP((O11-R11)/G11,0)*G11,0)</f>
        <v>0</v>
      </c>
      <c r="V11" s="80">
        <f>U11*'Данные'!E11</f>
        <v>0</v>
      </c>
    </row>
    <row r="12" ht="17" customHeight="1">
      <c r="A12" s="72" t="str">
        <f>'Данные'!A12</f>
        <v>SYR-06</v>
      </c>
      <c r="B12" s="73" t="str">
        <f>'Данные'!B12</f>
        <v>Сироп «Тыквенный пряный», 1 л</v>
      </c>
      <c r="C12" s="74" t="str">
        <f>'Данные'!D12</f>
        <v>бут.</v>
      </c>
      <c r="D12" s="126" t="str">
        <f>INDEX('ABC-XYZ'!$M$8:$M$19,MATCH(A12,'ABC-XYZ'!$B$8:$B$19,0))</f>
        <v>CZ</v>
      </c>
      <c r="E12" s="122" t="n">
        <v>21</v>
      </c>
      <c r="F12" s="122" t="n">
        <v>14</v>
      </c>
      <c r="G12" s="122" t="n">
        <v>6</v>
      </c>
      <c r="H12" s="90">
        <f>IF(LEFT(D12,1)="A",SL_A,IF(LEFT(D12,1)="B",SL_B,SL_C))</f>
        <v>0.9</v>
      </c>
      <c r="I12" s="127">
        <f>_xlfn.NORM.S.INV(H12)</f>
        <v>1.2815515655446</v>
      </c>
      <c r="J12" s="128">
        <f>'Прогноз'!D12</f>
        <v>97.9392770091422</v>
      </c>
      <c r="K12" s="129">
        <f>'Прогноз'!U12</f>
        <v>2.14723680637151</v>
      </c>
      <c r="L12" s="86">
        <f>I12*K12*SQRT(E12/30)</f>
        <v>2.30231661902139</v>
      </c>
      <c r="M12" s="86">
        <f>J12*E12/30</f>
        <v>68.5574939063996</v>
      </c>
      <c r="N12" s="87">
        <f>L12+M12</f>
        <v>70.859810525421</v>
      </c>
      <c r="O12" s="86">
        <f>N12+J12*F12/30</f>
        <v>116.564806463021</v>
      </c>
      <c r="P12" s="122" t="n">
        <v>62</v>
      </c>
      <c r="Q12" s="122" t="n">
        <v>0</v>
      </c>
      <c r="R12" s="86">
        <f>P12+Q12</f>
        <v>62</v>
      </c>
      <c r="S12" s="130">
        <f>R12/(J12/30)</f>
        <v>18.9913593075266</v>
      </c>
      <c r="T12" s="131" t="str">
        <f>IF(R12&lt;=N12,"Заказать","Норма")</f>
        <v>Заказать</v>
      </c>
      <c r="U12" s="87">
        <f>IF(R12&lt;=N12,ROUNDUP((O12-R12)/G12,0)*G12,0)</f>
        <v>60</v>
      </c>
      <c r="V12" s="86">
        <f>U12*'Данные'!E12</f>
        <v>36600</v>
      </c>
    </row>
    <row r="13" ht="17" customHeight="1">
      <c r="A13" s="60" t="str">
        <f>'Данные'!A13</f>
        <v>CUP-07</v>
      </c>
      <c r="B13" s="61" t="str">
        <f>'Данные'!B13</f>
        <v>Стакан бумажный 300 мл</v>
      </c>
      <c r="C13" s="62" t="str">
        <f>'Данные'!D13</f>
        <v>шт.</v>
      </c>
      <c r="D13" s="121" t="str">
        <f>INDEX('ABC-XYZ'!$M$8:$M$19,MATCH(A13,'ABC-XYZ'!$B$8:$B$19,0))</f>
        <v>BY</v>
      </c>
      <c r="E13" s="122" t="n">
        <v>14</v>
      </c>
      <c r="F13" s="122" t="n">
        <v>14</v>
      </c>
      <c r="G13" s="122" t="n">
        <v>1000</v>
      </c>
      <c r="H13" s="84">
        <f>IF(LEFT(D13,1)="A",SL_A,IF(LEFT(D13,1)="B",SL_B,SL_C))</f>
        <v>0.95</v>
      </c>
      <c r="I13" s="63">
        <f>_xlfn.NORM.S.INV(H13)</f>
        <v>1.64485362695147</v>
      </c>
      <c r="J13" s="123">
        <f>'Прогноз'!D13</f>
        <v>14681.3655042123</v>
      </c>
      <c r="K13" s="124">
        <f>'Прогноз'!U13</f>
        <v>568.228458419068</v>
      </c>
      <c r="L13" s="80">
        <f>I13*K13*SQRT(E13/30)</f>
        <v>638.48930621468</v>
      </c>
      <c r="M13" s="80">
        <f>J13*E13/30</f>
        <v>6851.30390196574</v>
      </c>
      <c r="N13" s="81">
        <f>L13+M13</f>
        <v>7489.79320818042</v>
      </c>
      <c r="O13" s="80">
        <f>N13+J13*F13/30</f>
        <v>14341.0971101462</v>
      </c>
      <c r="P13" s="122" t="n">
        <v>6441</v>
      </c>
      <c r="Q13" s="122" t="n">
        <v>0</v>
      </c>
      <c r="R13" s="80">
        <f>P13+Q13</f>
        <v>6441</v>
      </c>
      <c r="S13" s="125">
        <f>R13/(J13/30)</f>
        <v>13.1615822754743</v>
      </c>
      <c r="T13" s="64" t="str">
        <f>IF(R13&lt;=N13,"Заказать","Норма")</f>
        <v>Заказать</v>
      </c>
      <c r="U13" s="81">
        <f>IF(R13&lt;=N13,ROUNDUP((O13-R13)/G13,0)*G13,0)</f>
        <v>8000</v>
      </c>
      <c r="V13" s="80">
        <f>U13*'Данные'!E13</f>
        <v>59200</v>
      </c>
    </row>
    <row r="14" ht="17" customHeight="1">
      <c r="A14" s="72" t="str">
        <f>'Данные'!A14</f>
        <v>LID-08</v>
      </c>
      <c r="B14" s="73" t="str">
        <f>'Данные'!B14</f>
        <v>Крышка для стакана Ø 90 мм</v>
      </c>
      <c r="C14" s="74" t="str">
        <f>'Данные'!D14</f>
        <v>шт.</v>
      </c>
      <c r="D14" s="126" t="str">
        <f>INDEX('ABC-XYZ'!$M$8:$M$19,MATCH(A14,'ABC-XYZ'!$B$8:$B$19,0))</f>
        <v>BY</v>
      </c>
      <c r="E14" s="122" t="n">
        <v>14</v>
      </c>
      <c r="F14" s="122" t="n">
        <v>14</v>
      </c>
      <c r="G14" s="122" t="n">
        <v>1000</v>
      </c>
      <c r="H14" s="90">
        <f>IF(LEFT(D14,1)="A",SL_A,IF(LEFT(D14,1)="B",SL_B,SL_C))</f>
        <v>0.95</v>
      </c>
      <c r="I14" s="127">
        <f>_xlfn.NORM.S.INV(H14)</f>
        <v>1.64485362695147</v>
      </c>
      <c r="J14" s="128">
        <f>'Прогноз'!D14</f>
        <v>14136.9361566616</v>
      </c>
      <c r="K14" s="129">
        <f>'Прогноз'!U14</f>
        <v>735.99166617867</v>
      </c>
      <c r="L14" s="86">
        <f>I14*K14*SQRT(E14/30)</f>
        <v>826.996257149158</v>
      </c>
      <c r="M14" s="86">
        <f>J14*E14/30</f>
        <v>6597.23687310874</v>
      </c>
      <c r="N14" s="87">
        <f>L14+M14</f>
        <v>7424.2331302579</v>
      </c>
      <c r="O14" s="86">
        <f>N14+J14*F14/30</f>
        <v>14021.4700033666</v>
      </c>
      <c r="P14" s="122" t="n">
        <v>9058</v>
      </c>
      <c r="Q14" s="122" t="n">
        <v>0</v>
      </c>
      <c r="R14" s="86">
        <f>P14+Q14</f>
        <v>9058</v>
      </c>
      <c r="S14" s="130">
        <f>R14/(J14/30)</f>
        <v>19.2219867861503</v>
      </c>
      <c r="T14" s="131" t="str">
        <f>IF(R14&lt;=N14,"Заказать","Норма")</f>
        <v>Норма</v>
      </c>
      <c r="U14" s="87">
        <f>IF(R14&lt;=N14,ROUNDUP((O14-R14)/G14,0)*G14,0)</f>
        <v>0</v>
      </c>
      <c r="V14" s="86">
        <f>U14*'Данные'!E14</f>
        <v>0</v>
      </c>
    </row>
    <row r="15" ht="17" customHeight="1">
      <c r="A15" s="60" t="str">
        <f>'Данные'!A15</f>
        <v>CRS-09</v>
      </c>
      <c r="B15" s="61" t="str">
        <f>'Данные'!B15</f>
        <v>Круассан сливочный, заморозка</v>
      </c>
      <c r="C15" s="62" t="str">
        <f>'Данные'!D15</f>
        <v>шт.</v>
      </c>
      <c r="D15" s="121" t="str">
        <f>INDEX('ABC-XYZ'!$M$8:$M$19,MATCH(A15,'ABC-XYZ'!$B$8:$B$19,0))</f>
        <v>AX</v>
      </c>
      <c r="E15" s="122" t="n">
        <v>7</v>
      </c>
      <c r="F15" s="122" t="n">
        <v>7</v>
      </c>
      <c r="G15" s="122" t="n">
        <v>60</v>
      </c>
      <c r="H15" s="84">
        <f>IF(LEFT(D15,1)="A",SL_A,IF(LEFT(D15,1)="B",SL_B,SL_C))</f>
        <v>0.98</v>
      </c>
      <c r="I15" s="63">
        <f>_xlfn.NORM.S.INV(H15)</f>
        <v>2.05374891063182</v>
      </c>
      <c r="J15" s="123">
        <f>'Прогноз'!D15</f>
        <v>5825.97704171834</v>
      </c>
      <c r="K15" s="124">
        <f>'Прогноз'!U15</f>
        <v>126.376647359917</v>
      </c>
      <c r="L15" s="80">
        <f>I15*K15*SQRT(E15/30)</f>
        <v>125.37258155205</v>
      </c>
      <c r="M15" s="80">
        <f>J15*E15/30</f>
        <v>1359.39464306761</v>
      </c>
      <c r="N15" s="81">
        <f>L15+M15</f>
        <v>1484.76722461966</v>
      </c>
      <c r="O15" s="80">
        <f>N15+J15*F15/30</f>
        <v>2844.16186768728</v>
      </c>
      <c r="P15" s="122" t="n">
        <v>1039</v>
      </c>
      <c r="Q15" s="122" t="n">
        <v>0</v>
      </c>
      <c r="R15" s="80">
        <f>P15+Q15</f>
        <v>1039</v>
      </c>
      <c r="S15" s="125">
        <f>R15/(J15/30)</f>
        <v>5.35017556313723</v>
      </c>
      <c r="T15" s="64" t="str">
        <f>IF(R15&lt;=N15,"Заказать","Норма")</f>
        <v>Заказать</v>
      </c>
      <c r="U15" s="81">
        <f>IF(R15&lt;=N15,ROUNDUP((O15-R15)/G15,0)*G15,0)</f>
        <v>1860</v>
      </c>
      <c r="V15" s="80">
        <f>U15*'Данные'!E15</f>
        <v>100440</v>
      </c>
    </row>
    <row r="16" ht="17" customHeight="1">
      <c r="A16" s="72" t="str">
        <f>'Данные'!A16</f>
        <v>TEA-10</v>
      </c>
      <c r="B16" s="73" t="str">
        <f>'Данные'!B16</f>
        <v>Чай зелёный «Сенча», 500 г</v>
      </c>
      <c r="C16" s="74" t="str">
        <f>'Данные'!D16</f>
        <v>уп.</v>
      </c>
      <c r="D16" s="126" t="str">
        <f>INDEX('ABC-XYZ'!$M$8:$M$19,MATCH(A16,'ABC-XYZ'!$B$8:$B$19,0))</f>
        <v>CZ</v>
      </c>
      <c r="E16" s="122" t="n">
        <v>14</v>
      </c>
      <c r="F16" s="122" t="n">
        <v>14</v>
      </c>
      <c r="G16" s="122" t="n">
        <v>2</v>
      </c>
      <c r="H16" s="90">
        <f>IF(LEFT(D16,1)="A",SL_A,IF(LEFT(D16,1)="B",SL_B,SL_C))</f>
        <v>0.9</v>
      </c>
      <c r="I16" s="127">
        <f>_xlfn.NORM.S.INV(H16)</f>
        <v>1.2815515655446</v>
      </c>
      <c r="J16" s="128">
        <f>'Прогноз'!D16</f>
        <v>32.0955127017344</v>
      </c>
      <c r="K16" s="129">
        <f>'Прогноз'!U16</f>
        <v>1.51773905955377</v>
      </c>
      <c r="L16" s="86">
        <f>I16*K16*SQRT(E16/30)</f>
        <v>1.32872952998328</v>
      </c>
      <c r="M16" s="86">
        <f>J16*E16/30</f>
        <v>14.9779059274761</v>
      </c>
      <c r="N16" s="87">
        <f>L16+M16</f>
        <v>16.3066354574593</v>
      </c>
      <c r="O16" s="86">
        <f>N16+J16*F16/30</f>
        <v>31.2845413849354</v>
      </c>
      <c r="P16" s="122" t="n">
        <v>24</v>
      </c>
      <c r="Q16" s="122" t="n">
        <v>0</v>
      </c>
      <c r="R16" s="86">
        <f>P16+Q16</f>
        <v>24</v>
      </c>
      <c r="S16" s="130">
        <f>R16/(J16/30)</f>
        <v>22.4330424845057</v>
      </c>
      <c r="T16" s="131" t="str">
        <f>IF(R16&lt;=N16,"Заказать","Норма")</f>
        <v>Норма</v>
      </c>
      <c r="U16" s="87">
        <f>IF(R16&lt;=N16,ROUNDUP((O16-R16)/G16,0)*G16,0)</f>
        <v>0</v>
      </c>
      <c r="V16" s="86">
        <f>U16*'Данные'!E16</f>
        <v>0</v>
      </c>
    </row>
    <row r="17" ht="17" customHeight="1">
      <c r="A17" s="60" t="str">
        <f>'Данные'!A17</f>
        <v>ICE-11</v>
      </c>
      <c r="B17" s="61" t="str">
        <f>'Данные'!B17</f>
        <v>Лёд пищевой, кубики</v>
      </c>
      <c r="C17" s="62" t="str">
        <f>'Данные'!D17</f>
        <v>кг</v>
      </c>
      <c r="D17" s="121" t="str">
        <f>INDEX('ABC-XYZ'!$M$8:$M$19,MATCH(A17,'ABC-XYZ'!$B$8:$B$19,0))</f>
        <v>CZ</v>
      </c>
      <c r="E17" s="122" t="n">
        <v>2</v>
      </c>
      <c r="F17" s="122" t="n">
        <v>3</v>
      </c>
      <c r="G17" s="122" t="n">
        <v>20</v>
      </c>
      <c r="H17" s="84">
        <f>IF(LEFT(D17,1)="A",SL_A,IF(LEFT(D17,1)="B",SL_B,SL_C))</f>
        <v>0.9</v>
      </c>
      <c r="I17" s="63">
        <f>_xlfn.NORM.S.INV(H17)</f>
        <v>1.2815515655446</v>
      </c>
      <c r="J17" s="123">
        <f>'Прогноз'!D17</f>
        <v>317.311306980019</v>
      </c>
      <c r="K17" s="124">
        <f>'Прогноз'!U17</f>
        <v>43.8985758232524</v>
      </c>
      <c r="L17" s="80">
        <f>I17*K17*SQRT(E17/30)</f>
        <v>14.5258276482283</v>
      </c>
      <c r="M17" s="80">
        <f>J17*E17/30</f>
        <v>21.1540871320012</v>
      </c>
      <c r="N17" s="81">
        <f>L17+M17</f>
        <v>35.6799147802295</v>
      </c>
      <c r="O17" s="80">
        <f>N17+J17*F17/30</f>
        <v>67.4110454782314</v>
      </c>
      <c r="P17" s="122" t="n">
        <v>48</v>
      </c>
      <c r="Q17" s="122" t="n">
        <v>0</v>
      </c>
      <c r="R17" s="80">
        <f>P17+Q17</f>
        <v>48</v>
      </c>
      <c r="S17" s="125">
        <f>R17/(J17/30)</f>
        <v>4.53813012118941</v>
      </c>
      <c r="T17" s="64" t="str">
        <f>IF(R17&lt;=N17,"Заказать","Норма")</f>
        <v>Норма</v>
      </c>
      <c r="U17" s="81">
        <f>IF(R17&lt;=N17,ROUNDUP((O17-R17)/G17,0)*G17,0)</f>
        <v>0</v>
      </c>
      <c r="V17" s="80">
        <f>U17*'Данные'!E17</f>
        <v>0</v>
      </c>
    </row>
    <row r="18" ht="17" customHeight="1">
      <c r="A18" s="72" t="str">
        <f>'Данные'!A18</f>
        <v>CHO-12</v>
      </c>
      <c r="B18" s="73" t="str">
        <f>'Данные'!B18</f>
        <v>Шоколад для горячего шоколада</v>
      </c>
      <c r="C18" s="74" t="str">
        <f>'Данные'!D18</f>
        <v>кг</v>
      </c>
      <c r="D18" s="126" t="str">
        <f>INDEX('ABC-XYZ'!$M$8:$M$19,MATCH(A18,'ABC-XYZ'!$B$8:$B$19,0))</f>
        <v>CZ</v>
      </c>
      <c r="E18" s="122" t="n">
        <v>10</v>
      </c>
      <c r="F18" s="122" t="n">
        <v>14</v>
      </c>
      <c r="G18" s="122" t="n">
        <v>5</v>
      </c>
      <c r="H18" s="90">
        <f>IF(LEFT(D18,1)="A",SL_A,IF(LEFT(D18,1)="B",SL_B,SL_C))</f>
        <v>0.9</v>
      </c>
      <c r="I18" s="127">
        <f>_xlfn.NORM.S.INV(H18)</f>
        <v>1.2815515655446</v>
      </c>
      <c r="J18" s="128">
        <f>'Прогноз'!D18</f>
        <v>32.3299851873707</v>
      </c>
      <c r="K18" s="129">
        <f>'Прогноз'!U18</f>
        <v>1.21526289642023</v>
      </c>
      <c r="L18" s="86">
        <f>I18*K18*SQRT(E18/30)</f>
        <v>0.899178049887363</v>
      </c>
      <c r="M18" s="86">
        <f>J18*E18/30</f>
        <v>10.7766617291236</v>
      </c>
      <c r="N18" s="87">
        <f>L18+M18</f>
        <v>11.6758397790109</v>
      </c>
      <c r="O18" s="86">
        <f>N18+J18*F18/30</f>
        <v>26.7631661997839</v>
      </c>
      <c r="P18" s="122" t="n">
        <v>11</v>
      </c>
      <c r="Q18" s="122" t="n">
        <v>0</v>
      </c>
      <c r="R18" s="86">
        <f>P18+Q18</f>
        <v>11</v>
      </c>
      <c r="S18" s="130">
        <f>R18/(J18/30)</f>
        <v>10.2072425362233</v>
      </c>
      <c r="T18" s="131" t="str">
        <f>IF(R18&lt;=N18,"Заказать","Норма")</f>
        <v>Заказать</v>
      </c>
      <c r="U18" s="87">
        <f>IF(R18&lt;=N18,ROUNDUP((O18-R18)/G18,0)*G18,0)</f>
        <v>20</v>
      </c>
      <c r="V18" s="86">
        <f>U18*'Данные'!E18</f>
        <v>23000</v>
      </c>
    </row>
    <row r="19" ht="19" customHeight="1">
      <c r="A19" s="56" t="inlineStr">
        <is>
          <t>Итого к заказу</t>
        </is>
      </c>
      <c r="B19" s="56" t="n"/>
      <c r="C19" s="56" t="n"/>
      <c r="D19" s="56" t="n"/>
      <c r="E19" s="56" t="n"/>
      <c r="F19" s="56" t="n"/>
      <c r="G19" s="56" t="n"/>
      <c r="H19" s="56" t="n"/>
      <c r="I19" s="56" t="n"/>
      <c r="J19" s="56" t="n"/>
      <c r="K19" s="56" t="n"/>
      <c r="L19" s="56" t="n"/>
      <c r="M19" s="56" t="n"/>
      <c r="N19" s="56" t="n"/>
      <c r="O19" s="56" t="n"/>
      <c r="P19" s="56" t="n"/>
      <c r="Q19" s="56" t="n"/>
      <c r="R19" s="56" t="n"/>
      <c r="S19" s="56" t="n"/>
      <c r="T19" s="132">
        <f>COUNTIF(T7:T18,"Заказать")</f>
        <v>6</v>
      </c>
      <c r="U19" s="56" t="n"/>
      <c r="V19" s="57">
        <f>SUM(V7:V18)</f>
        <v>639192</v>
      </c>
    </row>
    <row r="21">
      <c r="A21" s="59" t="inlineStr">
        <is>
          <t>Логика: если позиция запаса (остаток + в пути) ≤ точки заказа, заказывается количество до максимального запаса (точка заказа + спрос за период заказа), округлённое вверх до кратности поставки.</t>
        </is>
      </c>
    </row>
  </sheetData>
  <mergeCells count="1">
    <mergeCell ref="A19:C19"/>
  </mergeCells>
  <conditionalFormatting sqref="T7:T18">
    <cfRule type="cellIs" priority="1" operator="equal" dxfId="7">
      <formula>"Заказать"</formula>
    </cfRule>
    <cfRule type="cellIs" priority="2" operator="equal" dxfId="8">
      <formula>"Норма"</formula>
    </cfRule>
  </conditionalFormatting>
  <conditionalFormatting sqref="U7:U18">
    <cfRule type="cellIs" priority="3" operator="equal" dxfId="6">
      <formula>0</formula>
    </cfRule>
  </conditionalFormatting>
  <conditionalFormatting sqref="V7:V18">
    <cfRule type="cellIs" priority="4" operator="equal" dxfId="6">
      <formula>0</formula>
    </cfRule>
  </conditionalFormatting>
  <printOptions horizontalCentered="1" headings="0"/>
  <pageMargins left="0.25" right="0.25" top="0.25" bottom="0.25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Дашборд</vt:lpstr>
      <vt:lpstr>Данные</vt:lpstr>
      <vt:lpstr>Сезонность</vt:lpstr>
      <vt:lpstr>Прогноз</vt:lpstr>
      <vt:lpstr>ABC-XYZ</vt:lpstr>
      <vt:lpstr>Закупки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>
  <dc:creator xmlns:dc="http://purl.org/dc/elements/1.1/">Игорь Туркин</dc:creator>
  <dc:title xmlns:dc="http://purl.org/dc/elements/1.1/">Модель планирования спроса и закупок</dc:title>
  <dc:description xmlns:dc="http://purl.org/dc/elements/1.1/">Демонстрационная модель. Сеть «Зерно и пар» и все данные вымышлены (синтетический ряд, seed 2026).</dc:description>
  <dc:subject xmlns:dc="http://purl.org/dc/elements/1.1/">Демонстрационная модель: прогноз спроса, ABC-XYZ, страховой запас</dc:subject>
  <dcterms:created xmlns:dcterms="http://purl.org/dc/terms/" xmlns:xsi="http://www.w3.org/2001/XMLSchema-instance" xsi:type="dcterms:W3CDTF">2026-10-09T05:46:17Z</dcterms:created>
  <dcterms:modified xmlns:dcterms="http://purl.org/dc/terms/" xmlns:xsi="http://www.w3.org/2001/XMLSchema-instance" xsi:type="dcterms:W3CDTF">2026-10-09T05:46:17Z</dcterms:modified>
  <cp:lastModifiedBy>Игорь Туркин</cp:lastModifiedBy>
  <cp:keywords>прогноз спроса; ABC-XYZ; страховой запас; точка заказа</cp:keywords>
</cp:coreProperties>
</file>